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EA2902C-E9A9-4355-A7DF-F3364C3E4CD1}" xr6:coauthVersionLast="47" xr6:coauthVersionMax="47" xr10:uidLastSave="{00000000-0000-0000-0000-000000000000}"/>
  <bookViews>
    <workbookView xWindow="-120" yWindow="-120" windowWidth="29040" windowHeight="15720" tabRatio="520" xr2:uid="{00000000-000D-0000-FFFF-FFFF00000000}"/>
  </bookViews>
  <sheets>
    <sheet name="Sheet1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4" i="8" l="1"/>
  <c r="F31" i="8"/>
  <c r="F26" i="8"/>
  <c r="F12" i="8"/>
  <c r="E12" i="8"/>
  <c r="D12" i="8"/>
  <c r="F6" i="8"/>
  <c r="E6" i="8"/>
  <c r="D6" i="8"/>
  <c r="F18" i="8"/>
  <c r="E18" i="8"/>
  <c r="D18" i="8"/>
  <c r="D65" i="8"/>
  <c r="F13" i="8"/>
  <c r="E13" i="8"/>
  <c r="F52" i="8"/>
  <c r="E52" i="8"/>
  <c r="F54" i="8"/>
  <c r="E54" i="8"/>
  <c r="F55" i="8"/>
  <c r="E55" i="8"/>
  <c r="F11" i="8"/>
  <c r="E11" i="8"/>
  <c r="D11" i="8"/>
  <c r="F38" i="8"/>
  <c r="E38" i="8"/>
  <c r="D38" i="8"/>
  <c r="F42" i="8"/>
  <c r="E42" i="8"/>
  <c r="F37" i="8"/>
  <c r="E37" i="8"/>
  <c r="F39" i="8"/>
  <c r="E39" i="8"/>
  <c r="D39" i="8"/>
  <c r="D29" i="8"/>
  <c r="D59" i="8"/>
  <c r="F15" i="8"/>
  <c r="E15" i="8"/>
  <c r="F16" i="8"/>
  <c r="E16" i="8"/>
  <c r="D16" i="8"/>
  <c r="D15" i="8"/>
  <c r="F40" i="8"/>
  <c r="E40" i="8"/>
  <c r="F36" i="8"/>
  <c r="E36" i="8"/>
  <c r="D40" i="8"/>
  <c r="D36" i="8"/>
  <c r="D42" i="8"/>
  <c r="F47" i="8"/>
  <c r="E47" i="8"/>
  <c r="F50" i="8"/>
  <c r="E50" i="8"/>
  <c r="F46" i="8"/>
  <c r="E46" i="8"/>
  <c r="F48" i="8"/>
  <c r="E48" i="8"/>
  <c r="F49" i="8"/>
  <c r="E49" i="8"/>
  <c r="D48" i="8"/>
  <c r="D47" i="8"/>
  <c r="D46" i="8"/>
  <c r="D50" i="8"/>
  <c r="D49" i="8"/>
  <c r="F73" i="8"/>
  <c r="E73" i="8"/>
  <c r="F70" i="8"/>
  <c r="E70" i="8"/>
  <c r="D70" i="8"/>
  <c r="D73" i="8"/>
  <c r="F63" i="8"/>
  <c r="E63" i="8"/>
  <c r="D63" i="8"/>
  <c r="F62" i="8"/>
  <c r="E62" i="8"/>
  <c r="F69" i="8"/>
  <c r="E69" i="8"/>
  <c r="F72" i="8"/>
  <c r="E72" i="8"/>
  <c r="D62" i="8"/>
  <c r="D69" i="8"/>
  <c r="D72" i="8"/>
  <c r="F66" i="8"/>
  <c r="E66" i="8"/>
  <c r="F2" i="8"/>
  <c r="E2" i="8"/>
  <c r="D2" i="8"/>
  <c r="F4" i="8"/>
  <c r="E4" i="8"/>
  <c r="F9" i="8"/>
  <c r="E9" i="8"/>
  <c r="D13" i="8"/>
  <c r="D4" i="8"/>
  <c r="D9" i="8"/>
  <c r="D32" i="8"/>
  <c r="D33" i="8"/>
  <c r="D58" i="8"/>
  <c r="F35" i="8"/>
  <c r="E35" i="8"/>
  <c r="F41" i="8"/>
  <c r="E41" i="8"/>
  <c r="D41" i="8"/>
  <c r="F77" i="8"/>
  <c r="E77" i="8"/>
  <c r="D77" i="8"/>
  <c r="F22" i="8"/>
  <c r="E22" i="8"/>
  <c r="F25" i="8"/>
  <c r="E25" i="8"/>
  <c r="D25" i="8"/>
  <c r="D45" i="8"/>
  <c r="D61" i="8"/>
  <c r="F14" i="8"/>
  <c r="E14" i="8"/>
  <c r="D30" i="8"/>
  <c r="D34" i="8"/>
  <c r="D28" i="8"/>
  <c r="D27" i="8"/>
  <c r="D52" i="8"/>
  <c r="F5" i="8"/>
  <c r="E5" i="8"/>
  <c r="D5" i="8"/>
  <c r="D24" i="8"/>
  <c r="F24" i="8"/>
  <c r="E24" i="8"/>
  <c r="F23" i="8"/>
  <c r="E23" i="8"/>
  <c r="F21" i="8"/>
  <c r="E21" i="8"/>
  <c r="F20" i="8"/>
  <c r="E20" i="8"/>
</calcChain>
</file>

<file path=xl/sharedStrings.xml><?xml version="1.0" encoding="utf-8"?>
<sst xmlns="http://schemas.openxmlformats.org/spreadsheetml/2006/main" count="307" uniqueCount="131">
  <si>
    <t>อำเภอ</t>
  </si>
  <si>
    <t>ตำบล</t>
  </si>
  <si>
    <t>ครัวเรือน</t>
  </si>
  <si>
    <t>กันตัง</t>
  </si>
  <si>
    <t>1,2,3,4,5,6</t>
  </si>
  <si>
    <t>รัษฎา</t>
  </si>
  <si>
    <t>ทต.คลองปาง</t>
  </si>
  <si>
    <t>1,2</t>
  </si>
  <si>
    <t>1,2,4,6,10,11,12</t>
  </si>
  <si>
    <t>ปะเหลียน</t>
  </si>
  <si>
    <t>วังวิเศษ</t>
  </si>
  <si>
    <t>1,2,3,5,8,9,10</t>
  </si>
  <si>
    <t>ทต.ห้วยนาง</t>
  </si>
  <si>
    <t>ทต.ลำภูรา</t>
  </si>
  <si>
    <t>1,2,3,4,6</t>
  </si>
  <si>
    <t>นาโยง</t>
  </si>
  <si>
    <t>1,2,3,4,5,6,7</t>
  </si>
  <si>
    <t>ย่านตาขาว</t>
  </si>
  <si>
    <t>ทต.ย่านตาขาว</t>
  </si>
  <si>
    <t>เมืองตรัง</t>
  </si>
  <si>
    <t>สิเกา</t>
  </si>
  <si>
    <t>นาเมืองเพชร</t>
  </si>
  <si>
    <t>ทต.นาวง</t>
  </si>
  <si>
    <t>1,2,4</t>
  </si>
  <si>
    <t>1,3,4</t>
  </si>
  <si>
    <t>1,3,4,5</t>
  </si>
  <si>
    <t>3,4,5,6,7,8,9</t>
  </si>
  <si>
    <t>1,2,3,4,5</t>
  </si>
  <si>
    <t>1,2,3,4</t>
  </si>
  <si>
    <t>1,2,3,4,5,6,7,8</t>
  </si>
  <si>
    <t>1,2,3,4,5,6,7,8,9,10,11</t>
  </si>
  <si>
    <t>1,2,3,4,5,6,7,8,9,10</t>
  </si>
  <si>
    <t>1,2,3,4,5,6,7,8,9</t>
  </si>
  <si>
    <t>1,2,4,6,7,8,9,11,12,14,15</t>
  </si>
  <si>
    <t>1,2,3,5,6,7</t>
  </si>
  <si>
    <t>1,2,4,8,10,11,17,18,21</t>
  </si>
  <si>
    <t>1,2,3,4,5,6,7,8,9,10,11,12</t>
  </si>
  <si>
    <t>1,2,3,4,5,7,8</t>
  </si>
  <si>
    <t>1,2,6,7,9,10,11,12</t>
  </si>
  <si>
    <t>3,4,5,6,7</t>
  </si>
  <si>
    <t>ทต.นาโยงเหนือ</t>
  </si>
  <si>
    <t>1,3,4,5,6,7,8,9,10,11</t>
  </si>
  <si>
    <t>21 ชุมชน</t>
  </si>
  <si>
    <t>ทต.คลองเต็ง</t>
  </si>
  <si>
    <t>5,6,9</t>
  </si>
  <si>
    <t>2,3,4,5,6,7</t>
  </si>
  <si>
    <t>3,5</t>
  </si>
  <si>
    <t>ห้วยอด</t>
  </si>
  <si>
    <t>ต.ท่างิ้ว</t>
  </si>
  <si>
    <t>ต.เขาปูน</t>
  </si>
  <si>
    <t>ต.ปากแจ่ม</t>
  </si>
  <si>
    <t>ต.ปากคม</t>
  </si>
  <si>
    <t>ต.ลำภูรา</t>
  </si>
  <si>
    <t>ต.หนองบัว</t>
  </si>
  <si>
    <t>ต.เขาไพร</t>
  </si>
  <si>
    <t>ต.คลองปาง</t>
  </si>
  <si>
    <t>ต.หนองปรือ</t>
  </si>
  <si>
    <t>ต.ควนเมา</t>
  </si>
  <si>
    <t>ต.ทุ่งค่าย</t>
  </si>
  <si>
    <t>ต.เกาะเปียะ</t>
  </si>
  <si>
    <t>ต.ทุ่งกระบือ</t>
  </si>
  <si>
    <t>ต.โพรงจระเข้</t>
  </si>
  <si>
    <t>ต.ย่านตาขาว</t>
  </si>
  <si>
    <t>ต.ในควน</t>
  </si>
  <si>
    <t>ต.หนองบ่อ</t>
  </si>
  <si>
    <t>ต.นาชุมเห็ด</t>
  </si>
  <si>
    <t>ต.ปะเหลียน</t>
  </si>
  <si>
    <t>ต.แหลมสอม</t>
  </si>
  <si>
    <t>ต.ท่าพญา</t>
  </si>
  <si>
    <t>ต.ทุ่งยาว</t>
  </si>
  <si>
    <t>ต.สุโสะ</t>
  </si>
  <si>
    <t>ต.บ้านนา</t>
  </si>
  <si>
    <t>ต.ลิพัง</t>
  </si>
  <si>
    <t>ต.บางด้วน</t>
  </si>
  <si>
    <t>ต.ช่อง</t>
  </si>
  <si>
    <t>ต.ละมอ</t>
  </si>
  <si>
    <t>ต.นาหมื่นศรี</t>
  </si>
  <si>
    <t>ต.โคกสะบ้า</t>
  </si>
  <si>
    <t>ต.นาโยงเหนือ</t>
  </si>
  <si>
    <t>ต.นาข้าวเสีย</t>
  </si>
  <si>
    <t>ต.ควนธานี</t>
  </si>
  <si>
    <t>ต.วังมะปราง</t>
  </si>
  <si>
    <t>ต.เขาวิเศษ</t>
  </si>
  <si>
    <t>ต.ท่าสะบ้า</t>
  </si>
  <si>
    <t>ต.เขาขาว</t>
  </si>
  <si>
    <t>ต.ทุ่งต่อ</t>
  </si>
  <si>
    <t>5 ชุมชน</t>
  </si>
  <si>
    <t>ต.บางดี</t>
  </si>
  <si>
    <t>ต.เขากอบ</t>
  </si>
  <si>
    <t>ต.หนองช้างแล่น</t>
  </si>
  <si>
    <t>ต.วังคีรี</t>
  </si>
  <si>
    <t>ต.นาวง</t>
  </si>
  <si>
    <t>ต.บางกุ้ง</t>
  </si>
  <si>
    <t>ต.นาโต๊ะหมิง</t>
  </si>
  <si>
    <t>ต.นาท่ามใต้</t>
  </si>
  <si>
    <t>ต.น้ำผุด</t>
  </si>
  <si>
    <t>ต.บางรัก</t>
  </si>
  <si>
    <t>ต.หนองตรุด</t>
  </si>
  <si>
    <t>ต.นาตาล่วง</t>
  </si>
  <si>
    <t>ต.ควนปริง</t>
  </si>
  <si>
    <t>ต.นาพละ</t>
  </si>
  <si>
    <t>ต.นาท่ามเหนือ</t>
  </si>
  <si>
    <t>ต.นาบินหลา</t>
  </si>
  <si>
    <t>ต.บ้านโพธิ์</t>
  </si>
  <si>
    <t>ต.นาโยงใต้</t>
  </si>
  <si>
    <t>ต.ท่าข้าม</t>
  </si>
  <si>
    <t>ต.โคกยาง</t>
  </si>
  <si>
    <t>ต.ย่านซื่อ</t>
  </si>
  <si>
    <t>ต.บางหมาก</t>
  </si>
  <si>
    <t>1,2,4,5,6,7,8</t>
  </si>
  <si>
    <t>ต.เกาะสุกร</t>
  </si>
  <si>
    <t>1,2,3,4,5,6,7,8,9,10,11,12,13,14,15, 1 ชุมชน</t>
  </si>
  <si>
    <t>ต.วังมะปรางเหนือ</t>
  </si>
  <si>
    <t>3+1+1 ชุมชน</t>
  </si>
  <si>
    <t>ต.ในเตา</t>
  </si>
  <si>
    <t>ต.บ้านควน</t>
  </si>
  <si>
    <t>ทน.ตรัง</t>
  </si>
  <si>
    <t>1,2,3,4,5,6,,7,8,9,10,11,12</t>
  </si>
  <si>
    <t>1,3,4,5,6,7,8,9</t>
  </si>
  <si>
    <t>ต.ห้วยยอด</t>
  </si>
  <si>
    <t>ต.กันตังใต้</t>
  </si>
  <si>
    <t>2,4,5,6,7,8,9,10</t>
  </si>
  <si>
    <t>1,2,3,4,5,6,7,8,12</t>
  </si>
  <si>
    <t>ต.โคกหล่อ</t>
  </si>
  <si>
    <t>1,3,4,5,7,8,9,10</t>
  </si>
  <si>
    <t>1,2,3,4,5,6,8,11,12</t>
  </si>
  <si>
    <t>หมู่ที่</t>
  </si>
  <si>
    <t>จำนวนหมู่</t>
  </si>
  <si>
    <t>จำนวนคน</t>
  </si>
  <si>
    <t>ที่มา</t>
  </si>
  <si>
    <t>สำนักงานป้องกันและบรรเทาสาธารณภัยจังหวัดตรัง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</si>
</sst>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>
    <font>
      <sz val="11"/>
      <color theme="1"/>
      <name val="Calibri"/>
      <charset val="134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1"/>
      <color theme="1"/>
      <name val="TH SarabunIT๙"/>
      <family val="2"/>
    </font>
    <font>
      <sz val="11"/>
      <color theme="1"/>
      <name val="Calibri"/>
      <charset val="134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164" fontId="4" fillId="0" borderId="0" xfId="1" applyNumberFormat="1" applyFont="1" applyAlignme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1" applyNumberFormat="1" applyFont="1" applyAlignment="1"/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6" fillId="0" borderId="0" xfId="0" applyFont="1"/>
    <xf numFmtId="164" fontId="1" fillId="0" borderId="1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" fontId="1" fillId="0" borderId="1" xfId="0" quotePrefix="1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"/>
  <sheetViews>
    <sheetView tabSelected="1" topLeftCell="A64" workbookViewId="0">
      <selection activeCell="G77" sqref="A1:G77"/>
    </sheetView>
  </sheetViews>
  <sheetFormatPr defaultColWidth="9" defaultRowHeight="15"/>
  <cols>
    <col min="1" max="1" width="10.5703125" customWidth="1"/>
    <col min="2" max="2" width="27.7109375" customWidth="1"/>
    <col min="3" max="3" width="38.7109375" customWidth="1"/>
    <col min="4" max="4" width="9.42578125" style="5" customWidth="1"/>
    <col min="5" max="6" width="15.7109375" style="6" customWidth="1"/>
    <col min="7" max="7" width="45.5703125" customWidth="1"/>
  </cols>
  <sheetData>
    <row r="1" spans="1:7" s="1" customFormat="1" ht="21">
      <c r="A1" s="16" t="s">
        <v>0</v>
      </c>
      <c r="B1" s="16" t="s">
        <v>1</v>
      </c>
      <c r="C1" s="16" t="s">
        <v>126</v>
      </c>
      <c r="D1" s="16" t="s">
        <v>127</v>
      </c>
      <c r="E1" s="19" t="s">
        <v>128</v>
      </c>
      <c r="F1" s="19" t="s">
        <v>2</v>
      </c>
      <c r="G1" s="7" t="s">
        <v>129</v>
      </c>
    </row>
    <row r="2" spans="1:7" s="1" customFormat="1" ht="21">
      <c r="A2" s="7" t="s">
        <v>47</v>
      </c>
      <c r="B2" s="7" t="s">
        <v>48</v>
      </c>
      <c r="C2" s="7" t="s">
        <v>37</v>
      </c>
      <c r="D2" s="7">
        <f>3+1+3</f>
        <v>7</v>
      </c>
      <c r="E2" s="15">
        <f>12+10+13</f>
        <v>35</v>
      </c>
      <c r="F2" s="15">
        <f>3+3+4</f>
        <v>10</v>
      </c>
      <c r="G2" s="7" t="s">
        <v>130</v>
      </c>
    </row>
    <row r="3" spans="1:7" s="1" customFormat="1" ht="21">
      <c r="A3" s="7" t="s">
        <v>47</v>
      </c>
      <c r="B3" s="7" t="s">
        <v>49</v>
      </c>
      <c r="C3" s="7">
        <v>5</v>
      </c>
      <c r="D3" s="7">
        <v>1</v>
      </c>
      <c r="E3" s="15">
        <v>150</v>
      </c>
      <c r="F3" s="15">
        <v>40</v>
      </c>
      <c r="G3" s="7" t="s">
        <v>130</v>
      </c>
    </row>
    <row r="4" spans="1:7" s="1" customFormat="1" ht="21">
      <c r="A4" s="7" t="s">
        <v>47</v>
      </c>
      <c r="B4" s="7" t="s">
        <v>50</v>
      </c>
      <c r="C4" s="7" t="s">
        <v>16</v>
      </c>
      <c r="D4" s="7">
        <f>1+4+2</f>
        <v>7</v>
      </c>
      <c r="E4" s="15">
        <f>300+153+35</f>
        <v>488</v>
      </c>
      <c r="F4" s="15">
        <f>60+41+10</f>
        <v>111</v>
      </c>
      <c r="G4" s="7" t="s">
        <v>130</v>
      </c>
    </row>
    <row r="5" spans="1:7" s="1" customFormat="1" ht="21">
      <c r="A5" s="7" t="s">
        <v>47</v>
      </c>
      <c r="B5" s="7" t="s">
        <v>51</v>
      </c>
      <c r="C5" s="7" t="s">
        <v>16</v>
      </c>
      <c r="D5" s="7">
        <f>1+6</f>
        <v>7</v>
      </c>
      <c r="E5" s="15">
        <f>2+197</f>
        <v>199</v>
      </c>
      <c r="F5" s="15">
        <f>1+63</f>
        <v>64</v>
      </c>
      <c r="G5" s="7" t="s">
        <v>130</v>
      </c>
    </row>
    <row r="6" spans="1:7" s="2" customFormat="1" ht="21">
      <c r="A6" s="7" t="s">
        <v>47</v>
      </c>
      <c r="B6" s="8" t="s">
        <v>52</v>
      </c>
      <c r="C6" s="8" t="s">
        <v>124</v>
      </c>
      <c r="D6" s="8">
        <f>3+3+2</f>
        <v>8</v>
      </c>
      <c r="E6" s="9">
        <f>184+580+744</f>
        <v>1508</v>
      </c>
      <c r="F6" s="9">
        <f>46+145+186</f>
        <v>377</v>
      </c>
      <c r="G6" s="7" t="s">
        <v>130</v>
      </c>
    </row>
    <row r="7" spans="1:7" s="2" customFormat="1" ht="21">
      <c r="A7" s="7" t="s">
        <v>47</v>
      </c>
      <c r="B7" s="8" t="s">
        <v>84</v>
      </c>
      <c r="C7" s="7" t="s">
        <v>16</v>
      </c>
      <c r="D7" s="8">
        <v>7</v>
      </c>
      <c r="E7" s="9">
        <v>1200</v>
      </c>
      <c r="F7" s="9">
        <v>300</v>
      </c>
      <c r="G7" s="7" t="s">
        <v>130</v>
      </c>
    </row>
    <row r="8" spans="1:7" s="2" customFormat="1" ht="21">
      <c r="A8" s="7" t="s">
        <v>47</v>
      </c>
      <c r="B8" s="8" t="s">
        <v>85</v>
      </c>
      <c r="C8" s="7" t="s">
        <v>29</v>
      </c>
      <c r="D8" s="8">
        <v>8</v>
      </c>
      <c r="E8" s="9">
        <v>87</v>
      </c>
      <c r="F8" s="9">
        <v>21</v>
      </c>
      <c r="G8" s="7" t="s">
        <v>130</v>
      </c>
    </row>
    <row r="9" spans="1:7" s="2" customFormat="1" ht="21">
      <c r="A9" s="7" t="s">
        <v>47</v>
      </c>
      <c r="B9" s="8" t="s">
        <v>12</v>
      </c>
      <c r="C9" s="7" t="s">
        <v>29</v>
      </c>
      <c r="D9" s="8">
        <f>7+1</f>
        <v>8</v>
      </c>
      <c r="E9" s="9">
        <f>85+3</f>
        <v>88</v>
      </c>
      <c r="F9" s="9">
        <f>20+1</f>
        <v>21</v>
      </c>
      <c r="G9" s="7" t="s">
        <v>130</v>
      </c>
    </row>
    <row r="10" spans="1:7" s="2" customFormat="1" ht="21">
      <c r="A10" s="7" t="s">
        <v>47</v>
      </c>
      <c r="B10" s="8" t="s">
        <v>13</v>
      </c>
      <c r="C10" s="7" t="s">
        <v>86</v>
      </c>
      <c r="D10" s="8">
        <v>5</v>
      </c>
      <c r="E10" s="9">
        <v>2000</v>
      </c>
      <c r="F10" s="9">
        <v>700</v>
      </c>
      <c r="G10" s="7" t="s">
        <v>130</v>
      </c>
    </row>
    <row r="11" spans="1:7" s="2" customFormat="1" ht="21">
      <c r="A11" s="7" t="s">
        <v>47</v>
      </c>
      <c r="B11" s="8" t="s">
        <v>87</v>
      </c>
      <c r="C11" s="7" t="s">
        <v>122</v>
      </c>
      <c r="D11" s="8">
        <f>6+1+2</f>
        <v>9</v>
      </c>
      <c r="E11" s="9">
        <f>199+100+84</f>
        <v>383</v>
      </c>
      <c r="F11" s="9">
        <f>41+25+25</f>
        <v>91</v>
      </c>
      <c r="G11" s="7" t="s">
        <v>130</v>
      </c>
    </row>
    <row r="12" spans="1:7" s="2" customFormat="1" ht="21">
      <c r="A12" s="7" t="s">
        <v>47</v>
      </c>
      <c r="B12" s="8" t="s">
        <v>89</v>
      </c>
      <c r="C12" s="7" t="s">
        <v>125</v>
      </c>
      <c r="D12" s="8">
        <f>6+1+2</f>
        <v>9</v>
      </c>
      <c r="E12" s="9">
        <f>588+28+32</f>
        <v>648</v>
      </c>
      <c r="F12" s="9">
        <f>147+7+8</f>
        <v>162</v>
      </c>
      <c r="G12" s="7" t="s">
        <v>130</v>
      </c>
    </row>
    <row r="13" spans="1:7" s="2" customFormat="1" ht="21">
      <c r="A13" s="7" t="s">
        <v>47</v>
      </c>
      <c r="B13" s="8" t="s">
        <v>88</v>
      </c>
      <c r="C13" s="7" t="s">
        <v>36</v>
      </c>
      <c r="D13" s="8">
        <f>7+4+1</f>
        <v>12</v>
      </c>
      <c r="E13" s="9">
        <f>893+28+670</f>
        <v>1591</v>
      </c>
      <c r="F13" s="9">
        <f>253+7+235</f>
        <v>495</v>
      </c>
      <c r="G13" s="7" t="s">
        <v>130</v>
      </c>
    </row>
    <row r="14" spans="1:7" s="2" customFormat="1" ht="21">
      <c r="A14" s="7" t="s">
        <v>47</v>
      </c>
      <c r="B14" s="8" t="s">
        <v>90</v>
      </c>
      <c r="C14" s="7" t="s">
        <v>14</v>
      </c>
      <c r="D14" s="8">
        <v>5</v>
      </c>
      <c r="E14" s="9">
        <f>210</f>
        <v>210</v>
      </c>
      <c r="F14" s="9">
        <f>49</f>
        <v>49</v>
      </c>
      <c r="G14" s="7" t="s">
        <v>130</v>
      </c>
    </row>
    <row r="15" spans="1:7" s="2" customFormat="1" ht="21">
      <c r="A15" s="7" t="s">
        <v>47</v>
      </c>
      <c r="B15" s="8" t="s">
        <v>91</v>
      </c>
      <c r="C15" s="7" t="s">
        <v>30</v>
      </c>
      <c r="D15" s="8">
        <f>4+1+6</f>
        <v>11</v>
      </c>
      <c r="E15" s="9">
        <f>36+4+162</f>
        <v>202</v>
      </c>
      <c r="F15" s="9">
        <f>12+2+54</f>
        <v>68</v>
      </c>
      <c r="G15" s="7" t="s">
        <v>130</v>
      </c>
    </row>
    <row r="16" spans="1:7" s="2" customFormat="1" ht="21">
      <c r="A16" s="7" t="s">
        <v>47</v>
      </c>
      <c r="B16" s="8" t="s">
        <v>92</v>
      </c>
      <c r="C16" s="7" t="s">
        <v>118</v>
      </c>
      <c r="D16" s="8">
        <f>2+6</f>
        <v>8</v>
      </c>
      <c r="E16" s="9">
        <f>670+320</f>
        <v>990</v>
      </c>
      <c r="F16" s="9">
        <f>235+80</f>
        <v>315</v>
      </c>
      <c r="G16" s="7" t="s">
        <v>130</v>
      </c>
    </row>
    <row r="17" spans="1:7" s="2" customFormat="1" ht="21">
      <c r="A17" s="7" t="s">
        <v>47</v>
      </c>
      <c r="B17" s="8" t="s">
        <v>22</v>
      </c>
      <c r="C17" s="7" t="s">
        <v>86</v>
      </c>
      <c r="D17" s="8">
        <v>5</v>
      </c>
      <c r="E17" s="9">
        <v>413</v>
      </c>
      <c r="F17" s="9">
        <v>108</v>
      </c>
      <c r="G17" s="7" t="s">
        <v>130</v>
      </c>
    </row>
    <row r="18" spans="1:7" s="2" customFormat="1" ht="21">
      <c r="A18" s="7" t="s">
        <v>47</v>
      </c>
      <c r="B18" s="8" t="s">
        <v>114</v>
      </c>
      <c r="C18" s="7" t="s">
        <v>28</v>
      </c>
      <c r="D18" s="8">
        <f>2+2</f>
        <v>4</v>
      </c>
      <c r="E18" s="9">
        <f>8+16</f>
        <v>24</v>
      </c>
      <c r="F18" s="9">
        <f>4+5</f>
        <v>9</v>
      </c>
      <c r="G18" s="7" t="s">
        <v>130</v>
      </c>
    </row>
    <row r="19" spans="1:7" s="2" customFormat="1" ht="21">
      <c r="A19" s="7" t="s">
        <v>47</v>
      </c>
      <c r="B19" s="8" t="s">
        <v>119</v>
      </c>
      <c r="C19" s="7" t="s">
        <v>46</v>
      </c>
      <c r="D19" s="8">
        <v>2</v>
      </c>
      <c r="E19" s="9">
        <v>371</v>
      </c>
      <c r="F19" s="9">
        <v>93</v>
      </c>
      <c r="G19" s="7" t="s">
        <v>130</v>
      </c>
    </row>
    <row r="20" spans="1:7" s="14" customFormat="1" ht="21">
      <c r="A20" s="7" t="s">
        <v>5</v>
      </c>
      <c r="B20" s="7" t="s">
        <v>6</v>
      </c>
      <c r="C20" s="17" t="s">
        <v>7</v>
      </c>
      <c r="D20" s="7">
        <v>2</v>
      </c>
      <c r="E20" s="15">
        <f>726+40</f>
        <v>766</v>
      </c>
      <c r="F20" s="15">
        <f>185+10</f>
        <v>195</v>
      </c>
      <c r="G20" s="7" t="s">
        <v>130</v>
      </c>
    </row>
    <row r="21" spans="1:7" s="1" customFormat="1" ht="21">
      <c r="A21" s="7" t="s">
        <v>5</v>
      </c>
      <c r="B21" s="7" t="s">
        <v>53</v>
      </c>
      <c r="C21" s="7" t="s">
        <v>32</v>
      </c>
      <c r="D21" s="7">
        <v>9</v>
      </c>
      <c r="E21" s="15">
        <f>1028+499+514+563+492+303+396+571+909</f>
        <v>5275</v>
      </c>
      <c r="F21" s="15">
        <f>303+120+150+159+143+128+105+218+326</f>
        <v>1652</v>
      </c>
      <c r="G21" s="7" t="s">
        <v>130</v>
      </c>
    </row>
    <row r="22" spans="1:7" s="1" customFormat="1" ht="21">
      <c r="A22" s="7" t="s">
        <v>5</v>
      </c>
      <c r="B22" s="7" t="s">
        <v>54</v>
      </c>
      <c r="C22" s="18" t="s">
        <v>27</v>
      </c>
      <c r="D22" s="7">
        <v>3</v>
      </c>
      <c r="E22" s="15">
        <f>40+23+4+27+23</f>
        <v>117</v>
      </c>
      <c r="F22" s="15">
        <f>12+5+1+6+4</f>
        <v>28</v>
      </c>
      <c r="G22" s="7" t="s">
        <v>130</v>
      </c>
    </row>
    <row r="23" spans="1:7" s="1" customFormat="1" ht="21">
      <c r="A23" s="7" t="s">
        <v>5</v>
      </c>
      <c r="B23" s="7" t="s">
        <v>55</v>
      </c>
      <c r="C23" s="7" t="s">
        <v>26</v>
      </c>
      <c r="D23" s="7">
        <v>7</v>
      </c>
      <c r="E23" s="15">
        <f>620+442+784+948+253+491+391</f>
        <v>3929</v>
      </c>
      <c r="F23" s="15">
        <f>197+180+392+341+81+201+156</f>
        <v>1548</v>
      </c>
      <c r="G23" s="7" t="s">
        <v>130</v>
      </c>
    </row>
    <row r="24" spans="1:7" s="1" customFormat="1" ht="21">
      <c r="A24" s="7" t="s">
        <v>5</v>
      </c>
      <c r="B24" s="7" t="s">
        <v>56</v>
      </c>
      <c r="C24" s="7" t="s">
        <v>8</v>
      </c>
      <c r="D24" s="7">
        <f>5+2</f>
        <v>7</v>
      </c>
      <c r="E24" s="15">
        <f>6+7+36+45+15</f>
        <v>109</v>
      </c>
      <c r="F24" s="15">
        <f>3+2+18+15+7</f>
        <v>45</v>
      </c>
      <c r="G24" s="7" t="s">
        <v>130</v>
      </c>
    </row>
    <row r="25" spans="1:7" s="2" customFormat="1" ht="21">
      <c r="A25" s="7" t="s">
        <v>5</v>
      </c>
      <c r="B25" s="12" t="s">
        <v>57</v>
      </c>
      <c r="C25" s="12" t="s">
        <v>33</v>
      </c>
      <c r="D25" s="12">
        <f>3+5+3</f>
        <v>11</v>
      </c>
      <c r="E25" s="13">
        <f>152+99+270+60+221+16+70+141+65+96+7</f>
        <v>1197</v>
      </c>
      <c r="F25" s="13">
        <f>39+33+90+22+89+5+20+58+20+33+3</f>
        <v>412</v>
      </c>
      <c r="G25" s="7" t="s">
        <v>130</v>
      </c>
    </row>
    <row r="26" spans="1:7" s="1" customFormat="1" ht="21">
      <c r="A26" s="7" t="s">
        <v>17</v>
      </c>
      <c r="B26" s="7" t="s">
        <v>18</v>
      </c>
      <c r="C26" s="18" t="s">
        <v>113</v>
      </c>
      <c r="D26" s="7">
        <v>5</v>
      </c>
      <c r="E26" s="15">
        <v>3371</v>
      </c>
      <c r="F26" s="15">
        <f>713+278</f>
        <v>991</v>
      </c>
      <c r="G26" s="7" t="s">
        <v>130</v>
      </c>
    </row>
    <row r="27" spans="1:7" s="1" customFormat="1" ht="21">
      <c r="A27" s="7" t="s">
        <v>17</v>
      </c>
      <c r="B27" s="7" t="s">
        <v>58</v>
      </c>
      <c r="C27" s="18" t="s">
        <v>30</v>
      </c>
      <c r="D27" s="7">
        <f>6+5</f>
        <v>11</v>
      </c>
      <c r="E27" s="15">
        <v>3001</v>
      </c>
      <c r="F27" s="15">
        <v>778</v>
      </c>
      <c r="G27" s="7" t="s">
        <v>130</v>
      </c>
    </row>
    <row r="28" spans="1:7" s="1" customFormat="1" ht="21">
      <c r="A28" s="7" t="s">
        <v>17</v>
      </c>
      <c r="B28" s="7" t="s">
        <v>59</v>
      </c>
      <c r="C28" s="7" t="s">
        <v>31</v>
      </c>
      <c r="D28" s="7">
        <f>6+4</f>
        <v>10</v>
      </c>
      <c r="E28" s="15">
        <v>2430</v>
      </c>
      <c r="F28" s="15">
        <v>585</v>
      </c>
      <c r="G28" s="7" t="s">
        <v>130</v>
      </c>
    </row>
    <row r="29" spans="1:7" s="1" customFormat="1" ht="21">
      <c r="A29" s="7" t="s">
        <v>17</v>
      </c>
      <c r="B29" s="7" t="s">
        <v>60</v>
      </c>
      <c r="C29" s="7" t="s">
        <v>32</v>
      </c>
      <c r="D29" s="7">
        <f>1+5+3</f>
        <v>9</v>
      </c>
      <c r="E29" s="15">
        <v>1248</v>
      </c>
      <c r="F29" s="15">
        <v>416</v>
      </c>
      <c r="G29" s="7" t="s">
        <v>130</v>
      </c>
    </row>
    <row r="30" spans="1:7" s="1" customFormat="1" ht="21">
      <c r="A30" s="7" t="s">
        <v>17</v>
      </c>
      <c r="B30" s="7" t="s">
        <v>61</v>
      </c>
      <c r="C30" s="7" t="s">
        <v>16</v>
      </c>
      <c r="D30" s="7">
        <f>3+2+2</f>
        <v>7</v>
      </c>
      <c r="E30" s="15">
        <v>2183</v>
      </c>
      <c r="F30" s="15">
        <v>546</v>
      </c>
      <c r="G30" s="7" t="s">
        <v>130</v>
      </c>
    </row>
    <row r="31" spans="1:7" s="1" customFormat="1" ht="21">
      <c r="A31" s="7" t="s">
        <v>17</v>
      </c>
      <c r="B31" s="7" t="s">
        <v>62</v>
      </c>
      <c r="C31" s="7" t="s">
        <v>27</v>
      </c>
      <c r="D31" s="7">
        <v>5</v>
      </c>
      <c r="E31" s="15">
        <v>1168</v>
      </c>
      <c r="F31" s="15">
        <f>60+15+4+93+120</f>
        <v>292</v>
      </c>
      <c r="G31" s="7" t="s">
        <v>130</v>
      </c>
    </row>
    <row r="32" spans="1:7" s="1" customFormat="1" ht="21">
      <c r="A32" s="7" t="s">
        <v>17</v>
      </c>
      <c r="B32" s="7" t="s">
        <v>63</v>
      </c>
      <c r="C32" s="7" t="s">
        <v>31</v>
      </c>
      <c r="D32" s="7">
        <f>3+2+5</f>
        <v>10</v>
      </c>
      <c r="E32" s="15">
        <v>633</v>
      </c>
      <c r="F32" s="15">
        <v>211</v>
      </c>
      <c r="G32" s="7" t="s">
        <v>130</v>
      </c>
    </row>
    <row r="33" spans="1:7" s="1" customFormat="1" ht="21">
      <c r="A33" s="7" t="s">
        <v>17</v>
      </c>
      <c r="B33" s="7" t="s">
        <v>64</v>
      </c>
      <c r="C33" s="7" t="s">
        <v>4</v>
      </c>
      <c r="D33" s="7">
        <f>4+2</f>
        <v>6</v>
      </c>
      <c r="E33" s="15">
        <v>357</v>
      </c>
      <c r="F33" s="15">
        <v>129</v>
      </c>
      <c r="G33" s="7" t="s">
        <v>130</v>
      </c>
    </row>
    <row r="34" spans="1:7" s="1" customFormat="1" ht="21">
      <c r="A34" s="7" t="s">
        <v>17</v>
      </c>
      <c r="B34" s="7" t="s">
        <v>65</v>
      </c>
      <c r="C34" s="7" t="s">
        <v>32</v>
      </c>
      <c r="D34" s="7">
        <f>2+7</f>
        <v>9</v>
      </c>
      <c r="E34" s="15">
        <v>804</v>
      </c>
      <c r="F34" s="15">
        <f>80+25+106</f>
        <v>211</v>
      </c>
      <c r="G34" s="7" t="s">
        <v>130</v>
      </c>
    </row>
    <row r="35" spans="1:7" s="1" customFormat="1" ht="21">
      <c r="A35" s="7" t="s">
        <v>9</v>
      </c>
      <c r="B35" s="7" t="s">
        <v>66</v>
      </c>
      <c r="C35" s="7" t="s">
        <v>111</v>
      </c>
      <c r="D35" s="7">
        <v>16</v>
      </c>
      <c r="E35" s="15">
        <f>2100+300+3060</f>
        <v>5460</v>
      </c>
      <c r="F35" s="15">
        <f>726+110+1020</f>
        <v>1856</v>
      </c>
      <c r="G35" s="7" t="s">
        <v>130</v>
      </c>
    </row>
    <row r="36" spans="1:7" s="1" customFormat="1" ht="21">
      <c r="A36" s="7" t="s">
        <v>9</v>
      </c>
      <c r="B36" s="7" t="s">
        <v>67</v>
      </c>
      <c r="C36" s="7" t="s">
        <v>30</v>
      </c>
      <c r="D36" s="7">
        <f>10+1</f>
        <v>11</v>
      </c>
      <c r="E36" s="15">
        <f>1512+410</f>
        <v>1922</v>
      </c>
      <c r="F36" s="15">
        <f>378+98</f>
        <v>476</v>
      </c>
      <c r="G36" s="7" t="s">
        <v>130</v>
      </c>
    </row>
    <row r="37" spans="1:7" s="1" customFormat="1" ht="21">
      <c r="A37" s="7" t="s">
        <v>9</v>
      </c>
      <c r="B37" s="7" t="s">
        <v>68</v>
      </c>
      <c r="C37" s="7" t="s">
        <v>28</v>
      </c>
      <c r="D37" s="7">
        <v>4</v>
      </c>
      <c r="E37" s="15">
        <f>240+560</f>
        <v>800</v>
      </c>
      <c r="F37" s="15">
        <f>59+139</f>
        <v>198</v>
      </c>
      <c r="G37" s="7" t="s">
        <v>130</v>
      </c>
    </row>
    <row r="38" spans="1:7" s="1" customFormat="1" ht="21">
      <c r="A38" s="7" t="s">
        <v>9</v>
      </c>
      <c r="B38" s="7" t="s">
        <v>69</v>
      </c>
      <c r="C38" s="7" t="s">
        <v>16</v>
      </c>
      <c r="D38" s="7">
        <f>2+3+1+1</f>
        <v>7</v>
      </c>
      <c r="E38" s="15">
        <f>70+90+176+40+5+450+12</f>
        <v>843</v>
      </c>
      <c r="F38" s="15">
        <f>25+72+149+13+2+155+4</f>
        <v>420</v>
      </c>
      <c r="G38" s="7" t="s">
        <v>130</v>
      </c>
    </row>
    <row r="39" spans="1:7" s="2" customFormat="1" ht="21">
      <c r="A39" s="7" t="s">
        <v>9</v>
      </c>
      <c r="B39" s="12" t="s">
        <v>70</v>
      </c>
      <c r="C39" s="12" t="s">
        <v>121</v>
      </c>
      <c r="D39" s="12">
        <f>1+1+1+3+1+1</f>
        <v>8</v>
      </c>
      <c r="E39" s="13">
        <f>3+2+120+220+3+2</f>
        <v>350</v>
      </c>
      <c r="F39" s="13">
        <f>1+1+24+44+1+1</f>
        <v>72</v>
      </c>
      <c r="G39" s="7" t="s">
        <v>130</v>
      </c>
    </row>
    <row r="40" spans="1:7" s="1" customFormat="1" ht="21">
      <c r="A40" s="7" t="s">
        <v>9</v>
      </c>
      <c r="B40" s="7" t="s">
        <v>71</v>
      </c>
      <c r="C40" s="18" t="s">
        <v>36</v>
      </c>
      <c r="D40" s="7">
        <f>3+4+1+1+3</f>
        <v>12</v>
      </c>
      <c r="E40" s="15">
        <f>40+45+224+360+24</f>
        <v>693</v>
      </c>
      <c r="F40" s="15">
        <f>16+20+85+123+6</f>
        <v>250</v>
      </c>
      <c r="G40" s="7" t="s">
        <v>130</v>
      </c>
    </row>
    <row r="41" spans="1:7" s="1" customFormat="1" ht="21">
      <c r="A41" s="7" t="s">
        <v>9</v>
      </c>
      <c r="B41" s="7" t="s">
        <v>72</v>
      </c>
      <c r="C41" s="18" t="s">
        <v>34</v>
      </c>
      <c r="D41" s="7">
        <f>4+2</f>
        <v>6</v>
      </c>
      <c r="E41" s="15">
        <f>60+350</f>
        <v>410</v>
      </c>
      <c r="F41" s="15">
        <f>22+96</f>
        <v>118</v>
      </c>
      <c r="G41" s="7" t="s">
        <v>130</v>
      </c>
    </row>
    <row r="42" spans="1:7" s="1" customFormat="1" ht="21">
      <c r="A42" s="7" t="s">
        <v>9</v>
      </c>
      <c r="B42" s="7" t="s">
        <v>73</v>
      </c>
      <c r="C42" s="18" t="s">
        <v>4</v>
      </c>
      <c r="D42" s="7">
        <f>3+3</f>
        <v>6</v>
      </c>
      <c r="E42" s="15">
        <f>54+90+130</f>
        <v>274</v>
      </c>
      <c r="F42" s="15">
        <f>31+22+44</f>
        <v>97</v>
      </c>
      <c r="G42" s="7" t="s">
        <v>130</v>
      </c>
    </row>
    <row r="43" spans="1:7" s="1" customFormat="1" ht="21">
      <c r="A43" s="7" t="s">
        <v>9</v>
      </c>
      <c r="B43" s="7" t="s">
        <v>105</v>
      </c>
      <c r="C43" s="18">
        <v>5</v>
      </c>
      <c r="D43" s="7">
        <v>1</v>
      </c>
      <c r="E43" s="15">
        <v>4</v>
      </c>
      <c r="F43" s="15">
        <v>1</v>
      </c>
      <c r="G43" s="7" t="s">
        <v>130</v>
      </c>
    </row>
    <row r="44" spans="1:7" s="1" customFormat="1" ht="21">
      <c r="A44" s="7" t="s">
        <v>9</v>
      </c>
      <c r="B44" s="7" t="s">
        <v>110</v>
      </c>
      <c r="C44" s="18" t="s">
        <v>28</v>
      </c>
      <c r="D44" s="7">
        <v>4</v>
      </c>
      <c r="E44" s="15">
        <v>5</v>
      </c>
      <c r="F44" s="15">
        <v>5</v>
      </c>
      <c r="G44" s="7" t="s">
        <v>130</v>
      </c>
    </row>
    <row r="45" spans="1:7" s="1" customFormat="1" ht="21">
      <c r="A45" s="7" t="s">
        <v>15</v>
      </c>
      <c r="B45" s="7" t="s">
        <v>74</v>
      </c>
      <c r="C45" s="18" t="s">
        <v>16</v>
      </c>
      <c r="D45" s="7">
        <f>5+2</f>
        <v>7</v>
      </c>
      <c r="E45" s="15">
        <v>86</v>
      </c>
      <c r="F45" s="15">
        <v>33</v>
      </c>
      <c r="G45" s="7" t="s">
        <v>130</v>
      </c>
    </row>
    <row r="46" spans="1:7" s="1" customFormat="1" ht="21">
      <c r="A46" s="7" t="s">
        <v>15</v>
      </c>
      <c r="B46" s="7" t="s">
        <v>75</v>
      </c>
      <c r="C46" s="7" t="s">
        <v>31</v>
      </c>
      <c r="D46" s="7">
        <f>3+7</f>
        <v>10</v>
      </c>
      <c r="E46" s="15">
        <f>91+325</f>
        <v>416</v>
      </c>
      <c r="F46" s="15">
        <f>26+112</f>
        <v>138</v>
      </c>
      <c r="G46" s="7" t="s">
        <v>130</v>
      </c>
    </row>
    <row r="47" spans="1:7" s="1" customFormat="1" ht="21">
      <c r="A47" s="7" t="s">
        <v>15</v>
      </c>
      <c r="B47" s="7" t="s">
        <v>76</v>
      </c>
      <c r="C47" s="7" t="s">
        <v>29</v>
      </c>
      <c r="D47" s="7">
        <f>5+2+1</f>
        <v>8</v>
      </c>
      <c r="E47" s="15">
        <f>39+558+10</f>
        <v>607</v>
      </c>
      <c r="F47" s="15">
        <f>11+158+5</f>
        <v>174</v>
      </c>
      <c r="G47" s="7" t="s">
        <v>130</v>
      </c>
    </row>
    <row r="48" spans="1:7" s="1" customFormat="1" ht="21">
      <c r="A48" s="7" t="s">
        <v>15</v>
      </c>
      <c r="B48" s="7" t="s">
        <v>77</v>
      </c>
      <c r="C48" s="7" t="s">
        <v>41</v>
      </c>
      <c r="D48" s="7">
        <f>4+4+2</f>
        <v>10</v>
      </c>
      <c r="E48" s="15">
        <f>194+74</f>
        <v>268</v>
      </c>
      <c r="F48" s="15">
        <f>48+20</f>
        <v>68</v>
      </c>
      <c r="G48" s="7" t="s">
        <v>130</v>
      </c>
    </row>
    <row r="49" spans="1:7" s="1" customFormat="1" ht="21">
      <c r="A49" s="7" t="s">
        <v>15</v>
      </c>
      <c r="B49" s="7" t="s">
        <v>78</v>
      </c>
      <c r="C49" s="18" t="s">
        <v>39</v>
      </c>
      <c r="D49" s="7">
        <f>2+2+1</f>
        <v>5</v>
      </c>
      <c r="E49" s="15">
        <f>540+318</f>
        <v>858</v>
      </c>
      <c r="F49" s="15">
        <f>191+127</f>
        <v>318</v>
      </c>
      <c r="G49" s="7" t="s">
        <v>130</v>
      </c>
    </row>
    <row r="50" spans="1:7" s="1" customFormat="1" ht="21">
      <c r="A50" s="7" t="s">
        <v>15</v>
      </c>
      <c r="B50" s="7" t="s">
        <v>79</v>
      </c>
      <c r="C50" s="7" t="s">
        <v>109</v>
      </c>
      <c r="D50" s="7">
        <f>2+5</f>
        <v>7</v>
      </c>
      <c r="E50" s="15">
        <f>221+402</f>
        <v>623</v>
      </c>
      <c r="F50" s="15">
        <f>75+131</f>
        <v>206</v>
      </c>
      <c r="G50" s="7" t="s">
        <v>130</v>
      </c>
    </row>
    <row r="51" spans="1:7" s="1" customFormat="1" ht="21">
      <c r="A51" s="7" t="s">
        <v>15</v>
      </c>
      <c r="B51" s="7" t="s">
        <v>40</v>
      </c>
      <c r="C51" s="7" t="s">
        <v>7</v>
      </c>
      <c r="D51" s="7">
        <v>2</v>
      </c>
      <c r="E51" s="15">
        <v>250</v>
      </c>
      <c r="F51" s="15">
        <v>82</v>
      </c>
      <c r="G51" s="7" t="s">
        <v>130</v>
      </c>
    </row>
    <row r="52" spans="1:7" s="1" customFormat="1" ht="21">
      <c r="A52" s="8" t="s">
        <v>3</v>
      </c>
      <c r="B52" s="7" t="s">
        <v>80</v>
      </c>
      <c r="C52" s="7" t="s">
        <v>4</v>
      </c>
      <c r="D52" s="7">
        <f>3+3</f>
        <v>6</v>
      </c>
      <c r="E52" s="15">
        <f>23+49+124+80+108+180+40+476+74+47+173+35</f>
        <v>1409</v>
      </c>
      <c r="F52" s="15">
        <f>7+12+31+15+27+44+18+121+17+15+35+11</f>
        <v>353</v>
      </c>
      <c r="G52" s="7" t="s">
        <v>130</v>
      </c>
    </row>
    <row r="53" spans="1:7" s="1" customFormat="1" ht="21">
      <c r="A53" s="8" t="s">
        <v>3</v>
      </c>
      <c r="B53" s="7" t="s">
        <v>106</v>
      </c>
      <c r="C53" s="7" t="s">
        <v>23</v>
      </c>
      <c r="D53" s="7">
        <v>3</v>
      </c>
      <c r="E53" s="15">
        <v>179</v>
      </c>
      <c r="F53" s="15">
        <v>60</v>
      </c>
      <c r="G53" s="7" t="s">
        <v>130</v>
      </c>
    </row>
    <row r="54" spans="1:7" s="1" customFormat="1" ht="21">
      <c r="A54" s="8" t="s">
        <v>3</v>
      </c>
      <c r="B54" s="7" t="s">
        <v>107</v>
      </c>
      <c r="C54" s="7" t="s">
        <v>24</v>
      </c>
      <c r="D54" s="7">
        <v>3</v>
      </c>
      <c r="E54" s="15">
        <f>25+63+48+6</f>
        <v>142</v>
      </c>
      <c r="F54" s="15">
        <f>7+22+14+3</f>
        <v>46</v>
      </c>
      <c r="G54" s="7" t="s">
        <v>130</v>
      </c>
    </row>
    <row r="55" spans="1:7" s="1" customFormat="1" ht="21">
      <c r="A55" s="8" t="s">
        <v>3</v>
      </c>
      <c r="B55" s="7" t="s">
        <v>108</v>
      </c>
      <c r="C55" s="7" t="s">
        <v>25</v>
      </c>
      <c r="D55" s="7">
        <v>4</v>
      </c>
      <c r="E55" s="15">
        <f>6+75+34+27+50</f>
        <v>192</v>
      </c>
      <c r="F55" s="15">
        <f>2+26+10+9+18</f>
        <v>65</v>
      </c>
      <c r="G55" s="7" t="s">
        <v>130</v>
      </c>
    </row>
    <row r="56" spans="1:7" s="1" customFormat="1" ht="21">
      <c r="A56" s="8" t="s">
        <v>3</v>
      </c>
      <c r="B56" s="7" t="s">
        <v>120</v>
      </c>
      <c r="C56" s="7">
        <v>6</v>
      </c>
      <c r="D56" s="7">
        <v>1</v>
      </c>
      <c r="E56" s="15"/>
      <c r="F56" s="15">
        <v>2</v>
      </c>
      <c r="G56" s="7" t="s">
        <v>130</v>
      </c>
    </row>
    <row r="57" spans="1:7" s="3" customFormat="1" ht="21">
      <c r="A57" s="8" t="s">
        <v>10</v>
      </c>
      <c r="B57" s="8" t="s">
        <v>81</v>
      </c>
      <c r="C57" s="8" t="s">
        <v>11</v>
      </c>
      <c r="D57" s="8">
        <v>7</v>
      </c>
      <c r="E57" s="9">
        <v>100</v>
      </c>
      <c r="F57" s="9">
        <v>22</v>
      </c>
      <c r="G57" s="7" t="s">
        <v>130</v>
      </c>
    </row>
    <row r="58" spans="1:7" s="3" customFormat="1" ht="21">
      <c r="A58" s="8" t="s">
        <v>10</v>
      </c>
      <c r="B58" s="8" t="s">
        <v>82</v>
      </c>
      <c r="C58" s="8" t="s">
        <v>35</v>
      </c>
      <c r="D58" s="8">
        <f>6+3</f>
        <v>9</v>
      </c>
      <c r="E58" s="9">
        <v>350</v>
      </c>
      <c r="F58" s="9">
        <v>70</v>
      </c>
      <c r="G58" s="7" t="s">
        <v>130</v>
      </c>
    </row>
    <row r="59" spans="1:7" s="3" customFormat="1" ht="21">
      <c r="A59" s="8" t="s">
        <v>10</v>
      </c>
      <c r="B59" s="8" t="s">
        <v>83</v>
      </c>
      <c r="C59" s="8" t="s">
        <v>30</v>
      </c>
      <c r="D59" s="8">
        <f>5+3+3</f>
        <v>11</v>
      </c>
      <c r="E59" s="9">
        <v>1038</v>
      </c>
      <c r="F59" s="9">
        <v>346</v>
      </c>
      <c r="G59" s="7" t="s">
        <v>130</v>
      </c>
    </row>
    <row r="60" spans="1:7" s="3" customFormat="1" ht="21">
      <c r="A60" s="8" t="s">
        <v>10</v>
      </c>
      <c r="B60" s="8" t="s">
        <v>112</v>
      </c>
      <c r="C60" s="8">
        <v>4</v>
      </c>
      <c r="D60" s="8">
        <v>1</v>
      </c>
      <c r="E60" s="9">
        <v>12</v>
      </c>
      <c r="F60" s="9">
        <v>4</v>
      </c>
      <c r="G60" s="7" t="s">
        <v>130</v>
      </c>
    </row>
    <row r="61" spans="1:7" s="3" customFormat="1" ht="21">
      <c r="A61" s="8" t="s">
        <v>19</v>
      </c>
      <c r="B61" s="8" t="s">
        <v>93</v>
      </c>
      <c r="C61" s="7" t="s">
        <v>4</v>
      </c>
      <c r="D61" s="8">
        <f>6</f>
        <v>6</v>
      </c>
      <c r="E61" s="9">
        <v>160</v>
      </c>
      <c r="F61" s="9">
        <v>66</v>
      </c>
      <c r="G61" s="7" t="s">
        <v>130</v>
      </c>
    </row>
    <row r="62" spans="1:7" s="2" customFormat="1" ht="21">
      <c r="A62" s="8" t="s">
        <v>19</v>
      </c>
      <c r="B62" s="8" t="s">
        <v>94</v>
      </c>
      <c r="C62" s="7" t="s">
        <v>29</v>
      </c>
      <c r="D62" s="12">
        <f>7+1</f>
        <v>8</v>
      </c>
      <c r="E62" s="13">
        <f>96+6</f>
        <v>102</v>
      </c>
      <c r="F62" s="13">
        <f>23+1</f>
        <v>24</v>
      </c>
      <c r="G62" s="7" t="s">
        <v>130</v>
      </c>
    </row>
    <row r="63" spans="1:7" s="1" customFormat="1" ht="21">
      <c r="A63" s="8" t="s">
        <v>19</v>
      </c>
      <c r="B63" s="7" t="s">
        <v>95</v>
      </c>
      <c r="C63" s="7" t="s">
        <v>36</v>
      </c>
      <c r="D63" s="7">
        <f>7+5</f>
        <v>12</v>
      </c>
      <c r="E63" s="15">
        <f>132+138</f>
        <v>270</v>
      </c>
      <c r="F63" s="15">
        <f>44+48</f>
        <v>92</v>
      </c>
      <c r="G63" s="7" t="s">
        <v>130</v>
      </c>
    </row>
    <row r="64" spans="1:7" s="1" customFormat="1" ht="21">
      <c r="A64" s="8" t="s">
        <v>19</v>
      </c>
      <c r="B64" s="7" t="s">
        <v>96</v>
      </c>
      <c r="C64" s="7" t="s">
        <v>4</v>
      </c>
      <c r="D64" s="7">
        <v>6</v>
      </c>
      <c r="E64" s="15">
        <v>1068</v>
      </c>
      <c r="F64" s="15">
        <v>356</v>
      </c>
      <c r="G64" s="7" t="s">
        <v>130</v>
      </c>
    </row>
    <row r="65" spans="1:7" s="1" customFormat="1" ht="21">
      <c r="A65" s="8" t="s">
        <v>19</v>
      </c>
      <c r="B65" s="7" t="s">
        <v>97</v>
      </c>
      <c r="C65" s="7" t="s">
        <v>29</v>
      </c>
      <c r="D65" s="7">
        <f>7+1</f>
        <v>8</v>
      </c>
      <c r="E65" s="15">
        <v>85</v>
      </c>
      <c r="F65" s="15">
        <v>34</v>
      </c>
      <c r="G65" s="7" t="s">
        <v>130</v>
      </c>
    </row>
    <row r="66" spans="1:7" s="1" customFormat="1" ht="21">
      <c r="A66" s="8" t="s">
        <v>19</v>
      </c>
      <c r="B66" s="7" t="s">
        <v>98</v>
      </c>
      <c r="C66" s="7" t="s">
        <v>4</v>
      </c>
      <c r="D66" s="7">
        <v>6</v>
      </c>
      <c r="E66" s="15">
        <f>210+180</f>
        <v>390</v>
      </c>
      <c r="F66" s="15">
        <f>52+55</f>
        <v>107</v>
      </c>
      <c r="G66" s="7" t="s">
        <v>130</v>
      </c>
    </row>
    <row r="67" spans="1:7" s="1" customFormat="1" ht="21">
      <c r="A67" s="8" t="s">
        <v>19</v>
      </c>
      <c r="B67" s="7" t="s">
        <v>99</v>
      </c>
      <c r="C67" s="7" t="s">
        <v>32</v>
      </c>
      <c r="D67" s="7">
        <v>9</v>
      </c>
      <c r="E67" s="15">
        <v>304</v>
      </c>
      <c r="F67" s="15">
        <v>72</v>
      </c>
      <c r="G67" s="7" t="s">
        <v>130</v>
      </c>
    </row>
    <row r="68" spans="1:7" s="1" customFormat="1" ht="21">
      <c r="A68" s="8" t="s">
        <v>19</v>
      </c>
      <c r="B68" s="7" t="s">
        <v>100</v>
      </c>
      <c r="C68" s="7" t="s">
        <v>31</v>
      </c>
      <c r="D68" s="7">
        <v>10</v>
      </c>
      <c r="E68" s="15">
        <v>296</v>
      </c>
      <c r="F68" s="15">
        <v>85</v>
      </c>
      <c r="G68" s="7" t="s">
        <v>130</v>
      </c>
    </row>
    <row r="69" spans="1:7" s="1" customFormat="1" ht="21">
      <c r="A69" s="8" t="s">
        <v>19</v>
      </c>
      <c r="B69" s="7" t="s">
        <v>101</v>
      </c>
      <c r="C69" s="7" t="s">
        <v>38</v>
      </c>
      <c r="D69" s="7">
        <f>5+3</f>
        <v>8</v>
      </c>
      <c r="E69" s="15">
        <f>548+145</f>
        <v>693</v>
      </c>
      <c r="F69" s="15">
        <f>130+35</f>
        <v>165</v>
      </c>
      <c r="G69" s="7" t="s">
        <v>130</v>
      </c>
    </row>
    <row r="70" spans="1:7" s="2" customFormat="1" ht="21">
      <c r="A70" s="8" t="s">
        <v>19</v>
      </c>
      <c r="B70" s="8" t="s">
        <v>123</v>
      </c>
      <c r="C70" s="8" t="s">
        <v>117</v>
      </c>
      <c r="D70" s="8">
        <f>4+8</f>
        <v>12</v>
      </c>
      <c r="E70" s="9">
        <f>150+352</f>
        <v>502</v>
      </c>
      <c r="F70" s="9">
        <f>25+110</f>
        <v>135</v>
      </c>
      <c r="G70" s="7" t="s">
        <v>130</v>
      </c>
    </row>
    <row r="71" spans="1:7" s="1" customFormat="1" ht="21">
      <c r="A71" s="8" t="s">
        <v>19</v>
      </c>
      <c r="B71" s="7" t="s">
        <v>102</v>
      </c>
      <c r="C71" s="7" t="s">
        <v>4</v>
      </c>
      <c r="D71" s="7">
        <v>6</v>
      </c>
      <c r="E71" s="15">
        <v>53</v>
      </c>
      <c r="F71" s="15">
        <v>18</v>
      </c>
      <c r="G71" s="7" t="s">
        <v>130</v>
      </c>
    </row>
    <row r="72" spans="1:7" s="1" customFormat="1" ht="21">
      <c r="A72" s="8" t="s">
        <v>19</v>
      </c>
      <c r="B72" s="7" t="s">
        <v>103</v>
      </c>
      <c r="C72" s="18" t="s">
        <v>31</v>
      </c>
      <c r="D72" s="7">
        <f>7+3</f>
        <v>10</v>
      </c>
      <c r="E72" s="15">
        <f>107+439</f>
        <v>546</v>
      </c>
      <c r="F72" s="15">
        <f>32+131</f>
        <v>163</v>
      </c>
      <c r="G72" s="7" t="s">
        <v>130</v>
      </c>
    </row>
    <row r="73" spans="1:7" s="1" customFormat="1" ht="21">
      <c r="A73" s="8" t="s">
        <v>19</v>
      </c>
      <c r="B73" s="7" t="s">
        <v>104</v>
      </c>
      <c r="C73" s="18" t="s">
        <v>29</v>
      </c>
      <c r="D73" s="7">
        <f>4+4</f>
        <v>8</v>
      </c>
      <c r="E73" s="15">
        <f>40+6+24</f>
        <v>70</v>
      </c>
      <c r="F73" s="15">
        <f>18+1+19</f>
        <v>38</v>
      </c>
      <c r="G73" s="7" t="s">
        <v>130</v>
      </c>
    </row>
    <row r="74" spans="1:7" s="1" customFormat="1" ht="21">
      <c r="A74" s="8" t="s">
        <v>19</v>
      </c>
      <c r="B74" s="7" t="s">
        <v>115</v>
      </c>
      <c r="C74" s="7" t="s">
        <v>4</v>
      </c>
      <c r="D74" s="7">
        <v>6</v>
      </c>
      <c r="E74" s="15">
        <v>127</v>
      </c>
      <c r="F74" s="15">
        <v>38</v>
      </c>
      <c r="G74" s="7" t="s">
        <v>130</v>
      </c>
    </row>
    <row r="75" spans="1:7" s="1" customFormat="1" ht="21">
      <c r="A75" s="8" t="s">
        <v>19</v>
      </c>
      <c r="B75" s="7" t="s">
        <v>116</v>
      </c>
      <c r="C75" s="7" t="s">
        <v>42</v>
      </c>
      <c r="D75" s="7">
        <v>21</v>
      </c>
      <c r="E75" s="15">
        <v>1335</v>
      </c>
      <c r="F75" s="15">
        <v>453</v>
      </c>
      <c r="G75" s="7" t="s">
        <v>130</v>
      </c>
    </row>
    <row r="76" spans="1:7" s="1" customFormat="1" ht="21">
      <c r="A76" s="8" t="s">
        <v>19</v>
      </c>
      <c r="B76" s="7" t="s">
        <v>43</v>
      </c>
      <c r="C76" s="7" t="s">
        <v>44</v>
      </c>
      <c r="D76" s="7">
        <v>3</v>
      </c>
      <c r="E76" s="15">
        <v>40</v>
      </c>
      <c r="F76" s="15">
        <v>8</v>
      </c>
      <c r="G76" s="7" t="s">
        <v>130</v>
      </c>
    </row>
    <row r="77" spans="1:7" s="1" customFormat="1" ht="21">
      <c r="A77" s="7" t="s">
        <v>20</v>
      </c>
      <c r="B77" s="7" t="s">
        <v>21</v>
      </c>
      <c r="C77" s="7" t="s">
        <v>45</v>
      </c>
      <c r="D77" s="7">
        <f>2+4</f>
        <v>6</v>
      </c>
      <c r="E77" s="15">
        <f>35+198</f>
        <v>233</v>
      </c>
      <c r="F77" s="15">
        <f>12+64</f>
        <v>76</v>
      </c>
      <c r="G77" s="7" t="s">
        <v>130</v>
      </c>
    </row>
    <row r="78" spans="1:7" s="4" customFormat="1">
      <c r="D78" s="10"/>
      <c r="E78" s="11"/>
      <c r="F78" s="11"/>
    </row>
  </sheetData>
  <pageMargins left="0.31496062992125984" right="0.19685039370078741" top="0.35433070866141736" bottom="0.15748031496062992" header="0.31496062992125984" footer="0.31496062992125984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NSO92</cp:lastModifiedBy>
  <cp:lastPrinted>2026-06-12T02:57:21Z</cp:lastPrinted>
  <dcterms:created xsi:type="dcterms:W3CDTF">2015-12-23T06:34:00Z</dcterms:created>
  <dcterms:modified xsi:type="dcterms:W3CDTF">2026-06-15T03:40:21Z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5E5E436EF7BA403FBB4E8EF9E55B14F0_13</vt:lpwstr>
  </property>
  <property fmtid="{D5CDD505-2E9C-101B-9397-08002B2CF9AE}" pid="3" name="KSOProductBuildVer">
    <vt:lpwstr>1054-12.2.0.23155</vt:lpwstr>
  </property>
</Properties>
</file>