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OpenData\Datacatalog - ชุดข้อมูลที่ทำใหม่ และ Update\08 ยศ\2569\"/>
    </mc:Choice>
  </mc:AlternateContent>
  <xr:revisionPtr revIDLastSave="0" documentId="13_ncr:1_{687C903E-2751-4492-AFC1-9378056471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_pay256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H36" i="1"/>
  <c r="G36" i="1"/>
  <c r="F36" i="1"/>
  <c r="E36" i="1"/>
  <c r="D36" i="1"/>
  <c r="C36" i="1"/>
  <c r="D35" i="1"/>
  <c r="D34" i="1"/>
  <c r="D33" i="1"/>
  <c r="D32" i="1"/>
  <c r="I31" i="1"/>
  <c r="H31" i="1"/>
  <c r="G31" i="1"/>
  <c r="F31" i="1"/>
  <c r="E31" i="1"/>
  <c r="D31" i="1"/>
  <c r="C31" i="1"/>
  <c r="D30" i="1"/>
  <c r="D29" i="1"/>
  <c r="I28" i="1"/>
  <c r="H28" i="1"/>
  <c r="F28" i="1"/>
  <c r="D28" i="1"/>
  <c r="I27" i="1"/>
  <c r="F27" i="1"/>
  <c r="D27" i="1"/>
  <c r="I26" i="1"/>
  <c r="H26" i="1"/>
  <c r="G26" i="1"/>
  <c r="F26" i="1"/>
  <c r="E26" i="1"/>
  <c r="D26" i="1"/>
  <c r="C26" i="1"/>
  <c r="I25" i="1"/>
  <c r="G25" i="1"/>
  <c r="F25" i="1"/>
  <c r="D25" i="1"/>
  <c r="H24" i="1"/>
  <c r="G24" i="1"/>
  <c r="F24" i="1"/>
  <c r="D24" i="1"/>
  <c r="I23" i="1"/>
  <c r="F23" i="1"/>
  <c r="D23" i="1"/>
  <c r="I22" i="1"/>
  <c r="H22" i="1"/>
  <c r="F22" i="1"/>
  <c r="D22" i="1"/>
  <c r="I21" i="1"/>
  <c r="H21" i="1"/>
  <c r="G21" i="1"/>
  <c r="F21" i="1"/>
  <c r="E21" i="1"/>
  <c r="D21" i="1"/>
  <c r="C21" i="1"/>
  <c r="I20" i="1"/>
  <c r="H20" i="1"/>
  <c r="G20" i="1"/>
  <c r="F20" i="1"/>
  <c r="D20" i="1"/>
  <c r="I19" i="1"/>
  <c r="H19" i="1"/>
  <c r="F19" i="1"/>
  <c r="D19" i="1"/>
  <c r="I18" i="1"/>
  <c r="H18" i="1"/>
  <c r="F18" i="1"/>
  <c r="D18" i="1"/>
  <c r="I17" i="1"/>
  <c r="H17" i="1"/>
  <c r="F17" i="1"/>
  <c r="D17" i="1"/>
  <c r="I16" i="1"/>
  <c r="H16" i="1"/>
  <c r="G16" i="1"/>
  <c r="F16" i="1"/>
  <c r="E16" i="1"/>
  <c r="D16" i="1"/>
  <c r="C16" i="1"/>
  <c r="I15" i="1"/>
  <c r="H15" i="1"/>
  <c r="G15" i="1"/>
  <c r="F15" i="1"/>
  <c r="D15" i="1"/>
  <c r="I14" i="1"/>
  <c r="H14" i="1"/>
  <c r="G14" i="1"/>
  <c r="F14" i="1"/>
  <c r="D14" i="1"/>
  <c r="I13" i="1"/>
  <c r="H13" i="1"/>
  <c r="G13" i="1"/>
  <c r="F13" i="1"/>
  <c r="D13" i="1"/>
  <c r="I12" i="1"/>
  <c r="H12" i="1"/>
  <c r="G12" i="1"/>
  <c r="F12" i="1"/>
  <c r="D12" i="1"/>
  <c r="I11" i="1"/>
  <c r="H11" i="1"/>
  <c r="G11" i="1"/>
  <c r="F11" i="1"/>
  <c r="E11" i="1"/>
  <c r="D11" i="1"/>
  <c r="C11" i="1"/>
  <c r="I10" i="1"/>
  <c r="H10" i="1"/>
  <c r="G10" i="1"/>
  <c r="F10" i="1"/>
  <c r="D10" i="1"/>
  <c r="I9" i="1"/>
  <c r="H9" i="1"/>
  <c r="G9" i="1"/>
  <c r="F9" i="1"/>
  <c r="D9" i="1"/>
  <c r="I8" i="1"/>
  <c r="H8" i="1"/>
  <c r="G8" i="1"/>
  <c r="F8" i="1"/>
  <c r="D8" i="1"/>
  <c r="H7" i="1"/>
  <c r="G7" i="1"/>
  <c r="F7" i="1"/>
  <c r="D7" i="1"/>
  <c r="I6" i="1"/>
  <c r="H6" i="1"/>
  <c r="G6" i="1"/>
  <c r="F6" i="1"/>
  <c r="E6" i="1"/>
  <c r="D6" i="1"/>
  <c r="C6" i="1"/>
  <c r="H5" i="1"/>
  <c r="G5" i="1"/>
  <c r="F5" i="1"/>
  <c r="D5" i="1"/>
  <c r="I4" i="1"/>
  <c r="H4" i="1"/>
  <c r="G4" i="1"/>
  <c r="F4" i="1"/>
  <c r="D4" i="1"/>
  <c r="I3" i="1"/>
  <c r="H3" i="1"/>
  <c r="F3" i="1"/>
  <c r="D3" i="1"/>
  <c r="I2" i="1"/>
  <c r="H2" i="1"/>
  <c r="F2" i="1"/>
  <c r="D2" i="1"/>
</calcChain>
</file>

<file path=xl/sharedStrings.xml><?xml version="1.0" encoding="utf-8"?>
<sst xmlns="http://schemas.openxmlformats.org/spreadsheetml/2006/main" count="16" uniqueCount="10">
  <si>
    <t>Year</t>
  </si>
  <si>
    <t>Quarter</t>
  </si>
  <si>
    <t>PlanGet_budget</t>
  </si>
  <si>
    <t>TotalPay_budget</t>
  </si>
  <si>
    <t>PersonnelPay_budget</t>
  </si>
  <si>
    <t>OperatingPay_budget</t>
  </si>
  <si>
    <t>CapitalPay_budget</t>
  </si>
  <si>
    <t>SubsidyPay_budget</t>
  </si>
  <si>
    <t>MiscPay_budget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</si>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</sst>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0"/>
    <numFmt numFmtId="166" formatCode="0.0000"/>
    <numFmt numFmtId="167" formatCode="_(* #,##0.0000_);_(* \(#,##0.0000\);_(* &quot;-&quot;??_);_(@_)"/>
    <numFmt numFmtId="168" formatCode="_-* #,##0.0000_-;\-* #,##0.0000_-;_-* &quot;-&quot;??_-;_-@_-"/>
  </numFmts>
  <fonts count="4">
    <font>
      <sz val="11"/>
      <color theme="1"/>
      <name val="Calibri"/>
      <charset val="222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/>
    <xf numFmtId="165" fontId="1" fillId="0" borderId="1" xfId="1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1" xfId="1" applyNumberFormat="1" applyFont="1" applyFill="1" applyBorder="1"/>
    <xf numFmtId="0" fontId="1" fillId="0" borderId="1" xfId="0" applyFont="1" applyBorder="1"/>
    <xf numFmtId="166" fontId="1" fillId="0" borderId="1" xfId="0" applyNumberFormat="1" applyFont="1" applyBorder="1"/>
    <xf numFmtId="167" fontId="1" fillId="0" borderId="0" xfId="1" applyNumberFormat="1" applyFont="1"/>
    <xf numFmtId="167" fontId="1" fillId="0" borderId="0" xfId="0" applyNumberFormat="1" applyFont="1"/>
    <xf numFmtId="168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2" workbookViewId="0">
      <selection activeCell="J28" sqref="J28"/>
    </sheetView>
  </sheetViews>
  <sheetFormatPr defaultColWidth="9.109375" defaultRowHeight="14.4"/>
  <cols>
    <col min="1" max="1" width="5" style="1" customWidth="1"/>
    <col min="2" max="2" width="7.88671875" style="1" customWidth="1"/>
    <col min="3" max="3" width="15.44140625" style="1" customWidth="1"/>
    <col min="4" max="4" width="16" style="1" customWidth="1"/>
    <col min="5" max="5" width="20.77734375" style="1" customWidth="1"/>
    <col min="6" max="6" width="20.44140625" style="1" customWidth="1"/>
    <col min="7" max="7" width="17.88671875" style="1" customWidth="1"/>
    <col min="8" max="8" width="18.44140625" style="1" customWidth="1"/>
    <col min="9" max="9" width="15.77734375" style="1" customWidth="1"/>
    <col min="10" max="16384" width="9.109375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2563</v>
      </c>
      <c r="B2" s="3">
        <v>1</v>
      </c>
      <c r="C2" s="4">
        <v>67.756</v>
      </c>
      <c r="D2" s="4">
        <f>SUM(E2:I2)</f>
        <v>67.756</v>
      </c>
      <c r="E2" s="4">
        <v>42.811300000000003</v>
      </c>
      <c r="F2" s="4">
        <f>0.462+8.5936+6.7+0.8311</f>
        <v>16.5867</v>
      </c>
      <c r="G2" s="5">
        <v>0</v>
      </c>
      <c r="H2" s="4">
        <f>6.524</f>
        <v>6.524</v>
      </c>
      <c r="I2" s="4">
        <f>1.834</f>
        <v>1.8340000000000001</v>
      </c>
    </row>
    <row r="3" spans="1:9">
      <c r="A3" s="3">
        <v>2563</v>
      </c>
      <c r="B3" s="3">
        <v>2</v>
      </c>
      <c r="C3" s="4">
        <v>319.16230000000002</v>
      </c>
      <c r="D3" s="4">
        <f t="shared" ref="D3:D5" si="0">SUM(E3:I3)</f>
        <v>73.936000000000007</v>
      </c>
      <c r="E3" s="4">
        <v>46.392499999999998</v>
      </c>
      <c r="F3" s="4">
        <f>1.7935+16.045+9.3592</f>
        <v>27.197700000000001</v>
      </c>
      <c r="G3" s="6">
        <v>0</v>
      </c>
      <c r="H3" s="4">
        <f>0.2915</f>
        <v>0.29149999999999998</v>
      </c>
      <c r="I3" s="4">
        <f>0.0543</f>
        <v>5.4300000000000001E-2</v>
      </c>
    </row>
    <row r="4" spans="1:9">
      <c r="A4" s="3">
        <v>2563</v>
      </c>
      <c r="B4" s="3">
        <v>3</v>
      </c>
      <c r="C4" s="4">
        <v>161.50229999999999</v>
      </c>
      <c r="D4" s="4">
        <f t="shared" si="0"/>
        <v>144.41399999999999</v>
      </c>
      <c r="E4" s="4">
        <v>49.853999999999999</v>
      </c>
      <c r="F4" s="4">
        <f>2.7023+11.6886+25.4735+0.3226</f>
        <v>40.186999999999998</v>
      </c>
      <c r="G4" s="4">
        <f>0.073+0.0097+7.6909</f>
        <v>7.7736000000000001</v>
      </c>
      <c r="H4" s="4">
        <f>0.0536+0.0687+45.4071</f>
        <v>45.529400000000003</v>
      </c>
      <c r="I4" s="4">
        <f>1.07</f>
        <v>1.07</v>
      </c>
    </row>
    <row r="5" spans="1:9">
      <c r="A5" s="3">
        <v>2563</v>
      </c>
      <c r="B5" s="3">
        <v>4</v>
      </c>
      <c r="C5" s="4">
        <v>107.0354</v>
      </c>
      <c r="D5" s="4">
        <f t="shared" si="0"/>
        <v>170.4923</v>
      </c>
      <c r="E5" s="4">
        <v>49.6419</v>
      </c>
      <c r="F5" s="4">
        <f>0.934+6.2709+15.5232+30.0929+0.5453</f>
        <v>53.366300000000003</v>
      </c>
      <c r="G5" s="4">
        <f>0.0104+8.191+0.0305</f>
        <v>8.2318999999999996</v>
      </c>
      <c r="H5" s="4">
        <f>0.0905+0.2245+5.0215+53.9148</f>
        <v>59.251300000000001</v>
      </c>
      <c r="I5" s="4">
        <v>8.9999999999999998E-4</v>
      </c>
    </row>
    <row r="6" spans="1:9">
      <c r="A6" s="3">
        <v>2563</v>
      </c>
      <c r="B6" s="3" t="s">
        <v>9</v>
      </c>
      <c r="C6" s="4">
        <f>SUM(C2:C5)</f>
        <v>655.45600000000002</v>
      </c>
      <c r="D6" s="4">
        <f>SUM(D2:D5)</f>
        <v>456.59829999999999</v>
      </c>
      <c r="E6" s="4">
        <f t="shared" ref="E6:I6" si="1">SUM(E2:E5)</f>
        <v>188.69970000000001</v>
      </c>
      <c r="F6" s="4">
        <f t="shared" si="1"/>
        <v>137.33770000000001</v>
      </c>
      <c r="G6" s="4">
        <f t="shared" si="1"/>
        <v>16.005500000000001</v>
      </c>
      <c r="H6" s="4">
        <f t="shared" si="1"/>
        <v>111.5962</v>
      </c>
      <c r="I6" s="4">
        <f t="shared" si="1"/>
        <v>2.9592000000000001</v>
      </c>
    </row>
    <row r="7" spans="1:9">
      <c r="A7" s="3">
        <v>2564</v>
      </c>
      <c r="B7" s="3">
        <v>1</v>
      </c>
      <c r="C7" s="7">
        <v>1365.568</v>
      </c>
      <c r="D7" s="7">
        <f>SUM(E7:I7)</f>
        <v>72.483500000000006</v>
      </c>
      <c r="E7" s="4">
        <v>48.2149</v>
      </c>
      <c r="F7" s="4">
        <f>0.5417+0+3.039+6.3559+8.8479</f>
        <v>18.784500000000001</v>
      </c>
      <c r="G7" s="6">
        <f>0+0</f>
        <v>0</v>
      </c>
      <c r="H7" s="4">
        <f>0.0431+5.441+0</f>
        <v>5.4840999999999998</v>
      </c>
      <c r="I7" s="5">
        <v>0</v>
      </c>
    </row>
    <row r="8" spans="1:9">
      <c r="A8" s="3">
        <v>2564</v>
      </c>
      <c r="B8" s="3">
        <v>2</v>
      </c>
      <c r="C8" s="7">
        <v>115.55889999999999</v>
      </c>
      <c r="D8" s="7">
        <f t="shared" ref="D8:D10" si="2">SUM(E8:I8)</f>
        <v>1299.6134500000001</v>
      </c>
      <c r="E8" s="4">
        <v>46.514699999999998</v>
      </c>
      <c r="F8" s="4">
        <f>0.4843+0+5.0435+12.1354+23.205</f>
        <v>40.868200000000002</v>
      </c>
      <c r="G8" s="6">
        <f>0.0307+0</f>
        <v>3.0700000000000002E-2</v>
      </c>
      <c r="H8" s="4">
        <f>0.0701+1.5312+54.35</f>
        <v>55.951300000000003</v>
      </c>
      <c r="I8" s="7">
        <f>1156.19+0+0.05855</f>
        <v>1156.24855</v>
      </c>
    </row>
    <row r="9" spans="1:9">
      <c r="A9" s="3">
        <v>2564</v>
      </c>
      <c r="B9" s="3">
        <v>3</v>
      </c>
      <c r="C9" s="7">
        <v>301.0686</v>
      </c>
      <c r="D9" s="7">
        <f t="shared" si="2"/>
        <v>253.72720000000001</v>
      </c>
      <c r="E9" s="4">
        <v>47.752600000000001</v>
      </c>
      <c r="F9" s="4">
        <f>0.2483+0.457+2.9752+14.5852+41.0003</f>
        <v>59.265999999999998</v>
      </c>
      <c r="G9" s="4">
        <f>0.0277+1.0296</f>
        <v>1.0572999999999999</v>
      </c>
      <c r="H9" s="4">
        <f>0.1562+0.1962+31.7042</f>
        <v>32.056600000000003</v>
      </c>
      <c r="I9" s="7">
        <f>113.5947+0+0</f>
        <v>113.5947</v>
      </c>
    </row>
    <row r="10" spans="1:9">
      <c r="A10" s="3">
        <v>2564</v>
      </c>
      <c r="B10" s="3">
        <v>4</v>
      </c>
      <c r="C10" s="7">
        <v>104.0759</v>
      </c>
      <c r="D10" s="7">
        <f t="shared" si="2"/>
        <v>141.76955000000001</v>
      </c>
      <c r="E10" s="4">
        <v>48.4114</v>
      </c>
      <c r="F10" s="4">
        <f>0.50325+0+6.2742+19.5245+18.765</f>
        <v>45.066949999999999</v>
      </c>
      <c r="G10" s="4">
        <f>2.4076+21.8689</f>
        <v>24.276499999999999</v>
      </c>
      <c r="H10" s="4">
        <f>0.4046+5.4934+18.1167</f>
        <v>24.014700000000001</v>
      </c>
      <c r="I10" s="7">
        <f>0+0+0</f>
        <v>0</v>
      </c>
    </row>
    <row r="11" spans="1:9">
      <c r="A11" s="3">
        <v>2564</v>
      </c>
      <c r="B11" s="3" t="s">
        <v>9</v>
      </c>
      <c r="C11" s="7">
        <f>SUM(C7:C10)</f>
        <v>1886.2714000000001</v>
      </c>
      <c r="D11" s="7">
        <f>SUM(D7:D10)</f>
        <v>1767.5936999999999</v>
      </c>
      <c r="E11" s="4">
        <f t="shared" ref="E11:I11" si="3">SUM(E7:E10)</f>
        <v>190.89359999999999</v>
      </c>
      <c r="F11" s="4">
        <f t="shared" si="3"/>
        <v>163.98564999999999</v>
      </c>
      <c r="G11" s="4">
        <f t="shared" si="3"/>
        <v>25.3645</v>
      </c>
      <c r="H11" s="4">
        <f t="shared" si="3"/>
        <v>117.5067</v>
      </c>
      <c r="I11" s="7">
        <f t="shared" si="3"/>
        <v>1269.8432499999999</v>
      </c>
    </row>
    <row r="12" spans="1:9">
      <c r="A12" s="3">
        <v>2565</v>
      </c>
      <c r="B12" s="3">
        <v>1</v>
      </c>
      <c r="C12" s="4">
        <v>1003.8945</v>
      </c>
      <c r="D12" s="4">
        <f>SUM(E12:I12)</f>
        <v>111.5767</v>
      </c>
      <c r="E12" s="4">
        <v>45.265500000000003</v>
      </c>
      <c r="F12" s="4">
        <f>0.813+0+0+1.1925+3.8337+8.1196</f>
        <v>13.9588</v>
      </c>
      <c r="G12" s="4">
        <f>0+0+0</f>
        <v>0</v>
      </c>
      <c r="H12" s="4">
        <f>0.0322+2.2038+49.6336</f>
        <v>51.869599999999998</v>
      </c>
      <c r="I12" s="4">
        <f>0+0+0.4828+0</f>
        <v>0.48280000000000001</v>
      </c>
    </row>
    <row r="13" spans="1:9">
      <c r="A13" s="3">
        <v>2565</v>
      </c>
      <c r="B13" s="3">
        <v>2</v>
      </c>
      <c r="C13" s="4">
        <v>108.2984</v>
      </c>
      <c r="D13" s="4">
        <f t="shared" ref="D13:D15" si="4">SUM(E13:I13)</f>
        <v>965.62660000000005</v>
      </c>
      <c r="E13" s="4">
        <v>46.247900000000001</v>
      </c>
      <c r="F13" s="4">
        <f>0.3251+0.3374+15.997+0.713+13.8503+18.349</f>
        <v>49.571800000000003</v>
      </c>
      <c r="G13" s="4">
        <f>0+0+0</f>
        <v>0</v>
      </c>
      <c r="H13" s="4">
        <f>0.3248+4.6363+12.4084</f>
        <v>17.369499999999999</v>
      </c>
      <c r="I13" s="4">
        <f>850.989+0+1.4484+0</f>
        <v>852.43740000000003</v>
      </c>
    </row>
    <row r="14" spans="1:9">
      <c r="A14" s="3">
        <v>2565</v>
      </c>
      <c r="B14" s="3">
        <v>3</v>
      </c>
      <c r="C14" s="4">
        <v>129.92400000000001</v>
      </c>
      <c r="D14" s="4">
        <f t="shared" si="4"/>
        <v>116.3113</v>
      </c>
      <c r="E14" s="4">
        <v>46.050699999999999</v>
      </c>
      <c r="F14" s="4">
        <f>0.449+1.1248+27.9948+1.5283+13.1418+12.912</f>
        <v>57.150700000000001</v>
      </c>
      <c r="G14" s="4">
        <f>0+0.2078+0</f>
        <v>0.20780000000000001</v>
      </c>
      <c r="H14" s="4">
        <f>0.4419+0.0518+12.4084</f>
        <v>12.902100000000001</v>
      </c>
      <c r="I14" s="4">
        <f>0+0+0+0</f>
        <v>0</v>
      </c>
    </row>
    <row r="15" spans="1:9">
      <c r="A15" s="3">
        <v>2565</v>
      </c>
      <c r="B15" s="3">
        <v>4</v>
      </c>
      <c r="C15" s="4">
        <v>129.98259999999999</v>
      </c>
      <c r="D15" s="4">
        <f t="shared" si="4"/>
        <v>145.32214999999999</v>
      </c>
      <c r="E15" s="4">
        <v>47.415500000000002</v>
      </c>
      <c r="F15" s="4">
        <f>0.6593+0.7873+27.9948+4.8525+15.9659+17.92355</f>
        <v>68.183350000000004</v>
      </c>
      <c r="G15" s="4">
        <f>0.01+0.1165+0.9149</f>
        <v>1.0414000000000001</v>
      </c>
      <c r="H15" s="4">
        <f>0.4556+5.3395+20.6806</f>
        <v>26.4757</v>
      </c>
      <c r="I15" s="4">
        <f>0+0+1.9311+0.2751</f>
        <v>2.2061999999999999</v>
      </c>
    </row>
    <row r="16" spans="1:9">
      <c r="A16" s="3">
        <v>2565</v>
      </c>
      <c r="B16" s="3" t="s">
        <v>9</v>
      </c>
      <c r="C16" s="4">
        <f>SUM(C12:C15)</f>
        <v>1372.0995</v>
      </c>
      <c r="D16" s="4">
        <f>SUM(D12:D15)</f>
        <v>1338.8367499999999</v>
      </c>
      <c r="E16" s="4">
        <f t="shared" ref="E16:I16" si="5">SUM(E12:E15)</f>
        <v>184.9796</v>
      </c>
      <c r="F16" s="4">
        <f t="shared" si="5"/>
        <v>188.86465000000001</v>
      </c>
      <c r="G16" s="4">
        <f t="shared" si="5"/>
        <v>1.2492000000000001</v>
      </c>
      <c r="H16" s="4">
        <f t="shared" si="5"/>
        <v>108.6169</v>
      </c>
      <c r="I16" s="4">
        <f t="shared" si="5"/>
        <v>855.12639999999999</v>
      </c>
    </row>
    <row r="17" spans="1:9">
      <c r="A17" s="3">
        <v>2566</v>
      </c>
      <c r="B17" s="3">
        <v>1</v>
      </c>
      <c r="C17" s="4">
        <v>182.6233</v>
      </c>
      <c r="D17" s="4">
        <f>SUM(E17:I17)</f>
        <v>64.593999999999994</v>
      </c>
      <c r="E17" s="4">
        <v>49.5837</v>
      </c>
      <c r="F17" s="4">
        <f>0.2996+7.7902+4.549</f>
        <v>12.6388</v>
      </c>
      <c r="G17" s="4">
        <v>0</v>
      </c>
      <c r="H17" s="4">
        <f>0.2041</f>
        <v>0.2041</v>
      </c>
      <c r="I17" s="4">
        <f>2.1674</f>
        <v>2.1674000000000002</v>
      </c>
    </row>
    <row r="18" spans="1:9">
      <c r="A18" s="3">
        <v>2566</v>
      </c>
      <c r="B18" s="3">
        <v>2</v>
      </c>
      <c r="C18" s="4">
        <v>119.8159</v>
      </c>
      <c r="D18" s="4">
        <f t="shared" ref="D18:D20" si="6">SUM(E18:I18)</f>
        <v>144.86439999999999</v>
      </c>
      <c r="E18" s="4">
        <v>48.556899999999999</v>
      </c>
      <c r="F18" s="4">
        <f>0.4371+30.1+14.4707+11.5051</f>
        <v>56.512900000000002</v>
      </c>
      <c r="G18" s="4">
        <v>0</v>
      </c>
      <c r="H18" s="4">
        <f>33.6376+2</f>
        <v>35.637599999999999</v>
      </c>
      <c r="I18" s="4">
        <f>4.157</f>
        <v>4.157</v>
      </c>
    </row>
    <row r="19" spans="1:9">
      <c r="A19" s="3">
        <v>2566</v>
      </c>
      <c r="B19" s="3">
        <v>3</v>
      </c>
      <c r="C19" s="4">
        <v>139.5027</v>
      </c>
      <c r="D19" s="4">
        <f t="shared" si="6"/>
        <v>136.2784</v>
      </c>
      <c r="E19" s="4">
        <v>50.532899999999998</v>
      </c>
      <c r="F19" s="4">
        <f>0.3872+1.44+17.2+17.7714+18.1511</f>
        <v>54.9497</v>
      </c>
      <c r="G19" s="4">
        <v>0</v>
      </c>
      <c r="H19" s="4">
        <f>25.2285+1.5118</f>
        <v>26.740300000000001</v>
      </c>
      <c r="I19" s="4">
        <f>3.6505+0.405</f>
        <v>4.0555000000000003</v>
      </c>
    </row>
    <row r="20" spans="1:9">
      <c r="A20" s="3">
        <v>2566</v>
      </c>
      <c r="B20" s="3">
        <v>4</v>
      </c>
      <c r="C20" s="4">
        <v>139.5026</v>
      </c>
      <c r="D20" s="4">
        <f t="shared" si="6"/>
        <v>175.8672</v>
      </c>
      <c r="E20" s="4">
        <v>50.107199999999999</v>
      </c>
      <c r="F20" s="4">
        <f>0.4482+12.9+27.1166+31.856</f>
        <v>72.320800000000006</v>
      </c>
      <c r="G20" s="4">
        <f>2.6491+6.4728</f>
        <v>9.1219000000000001</v>
      </c>
      <c r="H20" s="4">
        <f>25.2285+5.6648</f>
        <v>30.8933</v>
      </c>
      <c r="I20" s="4">
        <f>2.125+9.004+2.295</f>
        <v>13.423999999999999</v>
      </c>
    </row>
    <row r="21" spans="1:9">
      <c r="A21" s="3">
        <v>2566</v>
      </c>
      <c r="B21" s="3" t="s">
        <v>9</v>
      </c>
      <c r="C21" s="4">
        <f>SUM(C17:C20)</f>
        <v>581.44449999999995</v>
      </c>
      <c r="D21" s="4">
        <f>SUM(D17:D20)</f>
        <v>521.60400000000004</v>
      </c>
      <c r="E21" s="4">
        <f t="shared" ref="E21:I21" si="7">SUM(E17:E20)</f>
        <v>198.7807</v>
      </c>
      <c r="F21" s="4">
        <f t="shared" si="7"/>
        <v>196.4222</v>
      </c>
      <c r="G21" s="4">
        <f t="shared" si="7"/>
        <v>9.1219000000000001</v>
      </c>
      <c r="H21" s="4">
        <f t="shared" si="7"/>
        <v>93.475300000000004</v>
      </c>
      <c r="I21" s="4">
        <f t="shared" si="7"/>
        <v>23.803899999999999</v>
      </c>
    </row>
    <row r="22" spans="1:9">
      <c r="A22" s="3">
        <v>2567</v>
      </c>
      <c r="B22" s="3">
        <v>1</v>
      </c>
      <c r="C22" s="4">
        <v>169.41</v>
      </c>
      <c r="D22" s="4">
        <f>SUM(E22:I22)</f>
        <v>169.4101</v>
      </c>
      <c r="E22" s="4">
        <v>49.715699999999998</v>
      </c>
      <c r="F22" s="4">
        <f>0.289+29.7283+18.6643</f>
        <v>48.681600000000003</v>
      </c>
      <c r="G22" s="4">
        <v>0</v>
      </c>
      <c r="H22" s="4">
        <f>2.2054+66.6</f>
        <v>68.805400000000006</v>
      </c>
      <c r="I22" s="4">
        <f>2.2074</f>
        <v>2.2073999999999998</v>
      </c>
    </row>
    <row r="23" spans="1:9">
      <c r="A23" s="3">
        <v>2567</v>
      </c>
      <c r="B23" s="3">
        <v>2</v>
      </c>
      <c r="C23" s="4">
        <v>117.1751</v>
      </c>
      <c r="D23" s="4">
        <f t="shared" ref="D23:D25" si="8">SUM(E23:I23)</f>
        <v>118.31229999999999</v>
      </c>
      <c r="E23" s="4">
        <v>50.576999999999998</v>
      </c>
      <c r="F23" s="4">
        <f>0.3971+31.886+10.7944+19.9824</f>
        <v>63.059899999999999</v>
      </c>
      <c r="G23" s="4">
        <v>0</v>
      </c>
      <c r="H23" s="4">
        <v>1.5522</v>
      </c>
      <c r="I23" s="4">
        <f>3.1232</f>
        <v>3.1232000000000002</v>
      </c>
    </row>
    <row r="24" spans="1:9">
      <c r="A24" s="3">
        <v>2567</v>
      </c>
      <c r="B24" s="3">
        <v>3</v>
      </c>
      <c r="C24" s="4">
        <v>614.45249999999999</v>
      </c>
      <c r="D24" s="4">
        <f t="shared" si="8"/>
        <v>127.2376</v>
      </c>
      <c r="E24" s="4">
        <v>52.286799999999999</v>
      </c>
      <c r="F24" s="4">
        <f>0.3606+1.3223+11.8055+20.8352</f>
        <v>34.323599999999999</v>
      </c>
      <c r="G24" s="4">
        <f>12.195</f>
        <v>12.195</v>
      </c>
      <c r="H24" s="4">
        <f>0.0284+27.5264</f>
        <v>27.5548</v>
      </c>
      <c r="I24" s="4">
        <v>0.87739999999999996</v>
      </c>
    </row>
    <row r="25" spans="1:9">
      <c r="A25" s="3">
        <v>2567</v>
      </c>
      <c r="B25" s="3">
        <v>4</v>
      </c>
      <c r="C25" s="4">
        <v>43.754800000000003</v>
      </c>
      <c r="D25" s="4">
        <f t="shared" si="8"/>
        <v>438.90550000000002</v>
      </c>
      <c r="E25" s="4">
        <v>52.3307</v>
      </c>
      <c r="F25" s="4">
        <f>8.5815+26.3624+32.1999+4.3638+2.9874+5.9245+0.4418</f>
        <v>80.8613</v>
      </c>
      <c r="G25" s="4">
        <f>6.127+0.3444</f>
        <v>6.4714</v>
      </c>
      <c r="H25" s="4">
        <v>5.7126000000000001</v>
      </c>
      <c r="I25" s="4">
        <f>285.3774+8.1521</f>
        <v>293.52949999999998</v>
      </c>
    </row>
    <row r="26" spans="1:9">
      <c r="A26" s="3">
        <v>2567</v>
      </c>
      <c r="B26" s="3" t="s">
        <v>9</v>
      </c>
      <c r="C26" s="4">
        <f>SUM(C22:C25)</f>
        <v>944.79240000000004</v>
      </c>
      <c r="D26" s="4">
        <f>SUM(D22:D25)</f>
        <v>853.8655</v>
      </c>
      <c r="E26" s="4">
        <f t="shared" ref="E26:I26" si="9">SUM(E22:E25)</f>
        <v>204.9102</v>
      </c>
      <c r="F26" s="4">
        <f t="shared" si="9"/>
        <v>226.9264</v>
      </c>
      <c r="G26" s="4">
        <f t="shared" si="9"/>
        <v>18.666399999999999</v>
      </c>
      <c r="H26" s="4">
        <f t="shared" si="9"/>
        <v>103.625</v>
      </c>
      <c r="I26" s="4">
        <f t="shared" si="9"/>
        <v>299.73750000000001</v>
      </c>
    </row>
    <row r="27" spans="1:9">
      <c r="A27" s="3">
        <v>2568</v>
      </c>
      <c r="B27" s="3">
        <v>1</v>
      </c>
      <c r="C27" s="4">
        <v>315.09320000000002</v>
      </c>
      <c r="D27" s="4">
        <f>SUM(E27:I27)</f>
        <v>68.542699999999996</v>
      </c>
      <c r="E27" s="4">
        <v>52.392499999999998</v>
      </c>
      <c r="F27" s="4">
        <f>0.326+4.2633+6.4459</f>
        <v>11.0352</v>
      </c>
      <c r="G27" s="4">
        <v>0</v>
      </c>
      <c r="H27" s="4">
        <v>3.6294</v>
      </c>
      <c r="I27" s="4">
        <f>0.1148+1.3708</f>
        <v>1.4856</v>
      </c>
    </row>
    <row r="28" spans="1:9">
      <c r="A28" s="3">
        <v>2568</v>
      </c>
      <c r="B28" s="3">
        <v>2</v>
      </c>
      <c r="C28" s="4">
        <v>229.28469999999999</v>
      </c>
      <c r="D28" s="4">
        <f>SUM(E28:I28)</f>
        <v>156.35890000000001</v>
      </c>
      <c r="E28" s="4">
        <v>54.081400000000002</v>
      </c>
      <c r="F28" s="4">
        <f>0.3941+0.7601+7.5653+21.0669+12.6629+12.9361</f>
        <v>55.385399999999997</v>
      </c>
      <c r="G28" s="4">
        <v>0</v>
      </c>
      <c r="H28" s="4">
        <f>35.312</f>
        <v>35.311999999999998</v>
      </c>
      <c r="I28" s="4">
        <f>8.111+3.4691</f>
        <v>11.5801</v>
      </c>
    </row>
    <row r="29" spans="1:9">
      <c r="A29" s="3">
        <v>2568</v>
      </c>
      <c r="B29" s="3">
        <v>3</v>
      </c>
      <c r="C29" s="4">
        <v>154.39420000000001</v>
      </c>
      <c r="D29" s="4">
        <f t="shared" ref="D29:D30" si="10">SUM(E29:I29)</f>
        <v>128.5968</v>
      </c>
      <c r="E29" s="4">
        <v>52.908900000000003</v>
      </c>
      <c r="F29" s="4">
        <v>57.613300000000002</v>
      </c>
      <c r="G29" s="4">
        <v>0</v>
      </c>
      <c r="H29" s="4">
        <v>17.610299999999999</v>
      </c>
      <c r="I29" s="4">
        <v>0.46429999999999799</v>
      </c>
    </row>
    <row r="30" spans="1:9">
      <c r="A30" s="3">
        <v>2568</v>
      </c>
      <c r="B30" s="3">
        <v>4</v>
      </c>
      <c r="C30" s="4">
        <v>158.82239999999999</v>
      </c>
      <c r="D30" s="4">
        <f t="shared" si="10"/>
        <v>175.57079999999999</v>
      </c>
      <c r="E30" s="4">
        <v>52.4651</v>
      </c>
      <c r="F30" s="4">
        <v>90.468299999999999</v>
      </c>
      <c r="G30" s="4">
        <v>0.56289999999999996</v>
      </c>
      <c r="H30" s="4">
        <v>23.5383</v>
      </c>
      <c r="I30" s="4">
        <v>8.5361999999999991</v>
      </c>
    </row>
    <row r="31" spans="1:9">
      <c r="A31" s="3">
        <v>2568</v>
      </c>
      <c r="B31" s="3" t="s">
        <v>9</v>
      </c>
      <c r="C31" s="4">
        <f>SUM(C27:C30)</f>
        <v>857.59450000000004</v>
      </c>
      <c r="D31" s="4">
        <f>SUM(D27:D30)</f>
        <v>529.06920000000002</v>
      </c>
      <c r="E31" s="4">
        <f t="shared" ref="E31:I31" si="11">SUM(E27:E30)</f>
        <v>211.84790000000001</v>
      </c>
      <c r="F31" s="4">
        <f t="shared" si="11"/>
        <v>214.50219999999999</v>
      </c>
      <c r="G31" s="4">
        <f t="shared" si="11"/>
        <v>0.56289999999999996</v>
      </c>
      <c r="H31" s="4">
        <f t="shared" si="11"/>
        <v>80.09</v>
      </c>
      <c r="I31" s="4">
        <f t="shared" si="11"/>
        <v>22.066199999999998</v>
      </c>
    </row>
    <row r="32" spans="1:9">
      <c r="A32" s="8">
        <v>2569</v>
      </c>
      <c r="B32" s="3">
        <v>1</v>
      </c>
      <c r="C32" s="8">
        <v>305.17779999999999</v>
      </c>
      <c r="D32" s="4">
        <f>SUM(E32:I32)</f>
        <v>108.9688</v>
      </c>
      <c r="E32" s="8">
        <v>53.940100000000001</v>
      </c>
      <c r="F32" s="8">
        <v>11.9499</v>
      </c>
      <c r="G32" s="8">
        <v>8.5099999999999995E-2</v>
      </c>
      <c r="H32" s="8">
        <v>41.9133</v>
      </c>
      <c r="I32" s="8">
        <v>1.0804</v>
      </c>
    </row>
    <row r="33" spans="1:9">
      <c r="A33" s="8">
        <v>2569</v>
      </c>
      <c r="B33" s="3">
        <v>2</v>
      </c>
      <c r="C33" s="8">
        <v>184.71289999999999</v>
      </c>
      <c r="D33" s="4">
        <f t="shared" ref="D33:D35" si="12">SUM(E33:I33)</f>
        <v>131.6318</v>
      </c>
      <c r="E33" s="8">
        <v>52.996200000000002</v>
      </c>
      <c r="F33" s="8">
        <v>55.225700000000003</v>
      </c>
      <c r="G33" s="9">
        <v>1.4999999999999999E-2</v>
      </c>
      <c r="H33" s="9">
        <v>18.919</v>
      </c>
      <c r="I33" s="8">
        <v>4.4759000000000002</v>
      </c>
    </row>
    <row r="34" spans="1:9">
      <c r="A34" s="8">
        <v>2569</v>
      </c>
      <c r="B34" s="3">
        <v>3</v>
      </c>
      <c r="C34" s="8">
        <v>160.6199</v>
      </c>
      <c r="D34" s="4">
        <f t="shared" si="12"/>
        <v>239.73159999999999</v>
      </c>
      <c r="E34" s="8">
        <v>55.848599999999998</v>
      </c>
      <c r="F34" s="8">
        <v>68.542299999999997</v>
      </c>
      <c r="G34" s="8">
        <v>2.35E-2</v>
      </c>
      <c r="H34" s="8">
        <v>4.4140000000000104</v>
      </c>
      <c r="I34" s="8">
        <v>110.9032</v>
      </c>
    </row>
    <row r="35" spans="1:9">
      <c r="A35" s="8">
        <v>2569</v>
      </c>
      <c r="B35" s="3">
        <v>4</v>
      </c>
      <c r="C35" s="8">
        <v>152.5889</v>
      </c>
      <c r="D35" s="4">
        <f t="shared" si="12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>
      <c r="A36" s="8">
        <v>2569</v>
      </c>
      <c r="B36" s="3" t="s">
        <v>9</v>
      </c>
      <c r="C36" s="8">
        <f>SUM(C32:C35)</f>
        <v>803.09950000000003</v>
      </c>
      <c r="D36" s="8">
        <f t="shared" ref="D36:I36" si="13">SUM(D32:D35)</f>
        <v>480.3322</v>
      </c>
      <c r="E36" s="8">
        <f t="shared" si="13"/>
        <v>162.78489999999999</v>
      </c>
      <c r="F36" s="8">
        <f t="shared" si="13"/>
        <v>135.71789999999999</v>
      </c>
      <c r="G36" s="8">
        <f t="shared" si="13"/>
        <v>0.1236</v>
      </c>
      <c r="H36" s="8">
        <f t="shared" si="13"/>
        <v>65.246300000000005</v>
      </c>
      <c r="I36" s="8">
        <f t="shared" si="13"/>
        <v>116.45950000000001</v>
      </c>
    </row>
    <row r="39" spans="1:9">
      <c r="G39" s="10"/>
      <c r="H39" s="11"/>
      <c r="I39" s="11"/>
    </row>
    <row r="40" spans="1:9">
      <c r="G40" s="10"/>
      <c r="H40" s="11"/>
      <c r="I40" s="12"/>
    </row>
    <row r="41" spans="1:9">
      <c r="G41" s="10"/>
      <c r="H41" s="11"/>
      <c r="I41" s="12"/>
    </row>
    <row r="42" spans="1:9">
      <c r="G42" s="10"/>
      <c r="H42" s="11"/>
      <c r="I42" s="12"/>
    </row>
  </sheetData>
  <printOptions horizontalCentered="1"/>
  <pageMargins left="0.25" right="0.25" top="0.75" bottom="0.5" header="0.25" footer="0.2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Budget_pay2565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MDES</dc:creator>
  <cp:keywords/>
  <dc:description/>
  <cp:lastModifiedBy>ake kanuwong</cp:lastModifiedBy>
  <cp:revision/>
  <dcterms:created xsi:type="dcterms:W3CDTF">2022-12-01T06:38:00Z</dcterms:created>
  <dcterms:modified xsi:type="dcterms:W3CDTF">2026-08-01T17:25:32Z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11435B4980E64C94AFDFE490AA5CD0BB_13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